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tjz641\Dropbox\BS\Life\My Webs\bosvensmark\Calibration\"/>
    </mc:Choice>
  </mc:AlternateContent>
  <xr:revisionPtr revIDLastSave="0" documentId="13_ncr:1_{58826731-E66A-43FB-AAD4-51B6DDCCF77C}" xr6:coauthVersionLast="47" xr6:coauthVersionMax="47" xr10:uidLastSave="{00000000-0000-0000-0000-000000000000}"/>
  <bookViews>
    <workbookView xWindow="57480" yWindow="-120" windowWidth="29040" windowHeight="17520" xr2:uid="{00000000-000D-0000-FFFF-FFFF00000000}"/>
  </bookViews>
  <sheets>
    <sheet name="Deming" sheetId="1" r:id="rId1"/>
    <sheet name="Deming Weighted" sheetId="3" r:id="rId2"/>
  </sheets>
  <definedNames>
    <definedName name="COV" localSheetId="1">'Deming Weighted'!$Z$3:$AA$4</definedName>
    <definedName name="W" localSheetId="1">'Deming Weighted'!$AA$16:$BD$45</definedName>
    <definedName name="X_1" localSheetId="1">'Deming Weighted'!$AA$50:$AB$79</definedName>
    <definedName name="Y" localSheetId="1">'Deming Weighted'!$Z$50:$Z$79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" i="3" l="1"/>
  <c r="A1" i="3"/>
  <c r="P37" i="3"/>
  <c r="P36" i="3"/>
  <c r="P35" i="3"/>
  <c r="P34" i="3"/>
  <c r="P33" i="3"/>
  <c r="P32" i="3"/>
  <c r="P31" i="3"/>
  <c r="P30" i="3"/>
  <c r="P29" i="3"/>
  <c r="P28" i="3"/>
  <c r="P27" i="3"/>
  <c r="P26" i="3"/>
  <c r="P25" i="3"/>
  <c r="P24" i="3"/>
  <c r="P23" i="3"/>
  <c r="P22" i="3"/>
  <c r="P21" i="3"/>
  <c r="P20" i="3"/>
  <c r="P19" i="3"/>
  <c r="P18" i="3"/>
  <c r="E21" i="3"/>
  <c r="R3" i="3" s="1"/>
  <c r="R4" i="3" l="1"/>
  <c r="D26" i="3" l="1"/>
  <c r="D24" i="3"/>
  <c r="D23" i="1"/>
  <c r="D21" i="1"/>
  <c r="E8" i="3" l="1"/>
  <c r="D19" i="3"/>
  <c r="E9" i="3"/>
  <c r="R2" i="3"/>
  <c r="H4" i="1"/>
  <c r="G4" i="1"/>
  <c r="P17" i="3" l="1"/>
  <c r="P9" i="3"/>
  <c r="P16" i="3"/>
  <c r="P11" i="3"/>
  <c r="P13" i="3"/>
  <c r="P10" i="3"/>
  <c r="P12" i="3"/>
  <c r="P15" i="3"/>
  <c r="P14" i="3"/>
  <c r="P8" i="3"/>
  <c r="D19" i="1"/>
  <c r="E14" i="1"/>
  <c r="E13" i="1"/>
  <c r="E12" i="1"/>
  <c r="E11" i="1"/>
  <c r="E10" i="1"/>
  <c r="E9" i="1"/>
  <c r="E8" i="1"/>
  <c r="H5" i="1" l="1"/>
  <c r="G5" i="1"/>
  <c r="E22" i="3"/>
  <c r="Q34" i="3" s="1"/>
  <c r="E15" i="1"/>
  <c r="E4" i="1" s="1"/>
  <c r="E21" i="1" l="1"/>
  <c r="E20" i="1"/>
  <c r="E23" i="1"/>
  <c r="E22" i="1"/>
  <c r="Q10" i="3"/>
  <c r="Q13" i="3"/>
  <c r="U13" i="3" s="1"/>
  <c r="Q22" i="3"/>
  <c r="S22" i="3" s="1"/>
  <c r="Q18" i="3"/>
  <c r="S18" i="3" s="1"/>
  <c r="Q37" i="3"/>
  <c r="V37" i="3" s="1"/>
  <c r="Q12" i="3"/>
  <c r="V12" i="3" s="1"/>
  <c r="Q27" i="3"/>
  <c r="T27" i="3" s="1"/>
  <c r="Q26" i="3"/>
  <c r="U26" i="3" s="1"/>
  <c r="Q31" i="3"/>
  <c r="R31" i="3" s="1"/>
  <c r="Q35" i="3"/>
  <c r="R35" i="3" s="1"/>
  <c r="Q14" i="3"/>
  <c r="U14" i="3" s="1"/>
  <c r="Q20" i="3"/>
  <c r="U20" i="3" s="1"/>
  <c r="V34" i="3"/>
  <c r="S34" i="3"/>
  <c r="U34" i="3"/>
  <c r="T34" i="3"/>
  <c r="R34" i="3"/>
  <c r="S37" i="3"/>
  <c r="Q25" i="3"/>
  <c r="Q16" i="3"/>
  <c r="U16" i="3" s="1"/>
  <c r="Q32" i="3"/>
  <c r="Q9" i="3"/>
  <c r="U9" i="3" s="1"/>
  <c r="Q30" i="3"/>
  <c r="Q24" i="3"/>
  <c r="Q33" i="3"/>
  <c r="Q36" i="3"/>
  <c r="Q29" i="3"/>
  <c r="Q19" i="3"/>
  <c r="Q15" i="3"/>
  <c r="R15" i="3" s="1"/>
  <c r="Q17" i="3"/>
  <c r="S17" i="3" s="1"/>
  <c r="Q23" i="3"/>
  <c r="Q28" i="3"/>
  <c r="Q11" i="3"/>
  <c r="Q8" i="3"/>
  <c r="U8" i="3" s="1"/>
  <c r="Q21" i="3"/>
  <c r="E5" i="1"/>
  <c r="E19" i="1" s="1"/>
  <c r="U18" i="3" l="1"/>
  <c r="R13" i="3"/>
  <c r="V13" i="3"/>
  <c r="U12" i="3"/>
  <c r="U22" i="3"/>
  <c r="V22" i="3"/>
  <c r="R22" i="3"/>
  <c r="T22" i="3"/>
  <c r="U37" i="3"/>
  <c r="T13" i="3"/>
  <c r="T37" i="3"/>
  <c r="V16" i="3"/>
  <c r="R18" i="3"/>
  <c r="V18" i="3"/>
  <c r="S13" i="3"/>
  <c r="T18" i="3"/>
  <c r="R37" i="3"/>
  <c r="U27" i="3"/>
  <c r="V9" i="3"/>
  <c r="V31" i="3"/>
  <c r="U31" i="3"/>
  <c r="S31" i="3"/>
  <c r="S26" i="3"/>
  <c r="R26" i="3"/>
  <c r="V26" i="3"/>
  <c r="T31" i="3"/>
  <c r="T26" i="3"/>
  <c r="V8" i="3"/>
  <c r="R8" i="3"/>
  <c r="T9" i="3"/>
  <c r="T8" i="3"/>
  <c r="S8" i="3"/>
  <c r="U35" i="3"/>
  <c r="S9" i="3"/>
  <c r="T35" i="3"/>
  <c r="T16" i="3"/>
  <c r="T14" i="3"/>
  <c r="S35" i="3"/>
  <c r="V35" i="3"/>
  <c r="S14" i="3"/>
  <c r="S20" i="3"/>
  <c r="S27" i="3"/>
  <c r="R20" i="3"/>
  <c r="V27" i="3"/>
  <c r="R14" i="3"/>
  <c r="S12" i="3"/>
  <c r="R27" i="3"/>
  <c r="T20" i="3"/>
  <c r="V14" i="3"/>
  <c r="V20" i="3"/>
  <c r="R16" i="3"/>
  <c r="T12" i="3"/>
  <c r="R12" i="3"/>
  <c r="S30" i="3"/>
  <c r="R30" i="3"/>
  <c r="V30" i="3"/>
  <c r="T30" i="3"/>
  <c r="U30" i="3"/>
  <c r="S23" i="3"/>
  <c r="R23" i="3"/>
  <c r="U23" i="3"/>
  <c r="T23" i="3"/>
  <c r="V23" i="3"/>
  <c r="U15" i="3"/>
  <c r="R9" i="3"/>
  <c r="V19" i="3"/>
  <c r="U19" i="3"/>
  <c r="T19" i="3"/>
  <c r="R19" i="3"/>
  <c r="S19" i="3"/>
  <c r="T28" i="3"/>
  <c r="S28" i="3"/>
  <c r="R28" i="3"/>
  <c r="V28" i="3"/>
  <c r="U28" i="3"/>
  <c r="T15" i="3"/>
  <c r="U17" i="3"/>
  <c r="V17" i="3"/>
  <c r="V32" i="3"/>
  <c r="U32" i="3"/>
  <c r="T32" i="3"/>
  <c r="R32" i="3"/>
  <c r="S32" i="3"/>
  <c r="V24" i="3"/>
  <c r="U24" i="3"/>
  <c r="S24" i="3"/>
  <c r="R24" i="3"/>
  <c r="T24" i="3"/>
  <c r="T17" i="3"/>
  <c r="S15" i="3"/>
  <c r="V36" i="3"/>
  <c r="T36" i="3"/>
  <c r="S36" i="3"/>
  <c r="R36" i="3"/>
  <c r="U36" i="3"/>
  <c r="R17" i="3"/>
  <c r="T29" i="3"/>
  <c r="V29" i="3"/>
  <c r="U29" i="3"/>
  <c r="S29" i="3"/>
  <c r="R29" i="3"/>
  <c r="V15" i="3"/>
  <c r="R21" i="3"/>
  <c r="V21" i="3"/>
  <c r="U21" i="3"/>
  <c r="T21" i="3"/>
  <c r="S21" i="3"/>
  <c r="R25" i="3"/>
  <c r="S25" i="3"/>
  <c r="U25" i="3"/>
  <c r="T25" i="3"/>
  <c r="V25" i="3"/>
  <c r="T33" i="3"/>
  <c r="R33" i="3"/>
  <c r="U33" i="3"/>
  <c r="V33" i="3"/>
  <c r="S33" i="3"/>
  <c r="S16" i="3"/>
  <c r="E18" i="1"/>
  <c r="Q38" i="3" l="1"/>
  <c r="V10" i="3"/>
  <c r="S11" i="3"/>
  <c r="V11" i="3"/>
  <c r="U11" i="3"/>
  <c r="R11" i="3"/>
  <c r="T11" i="3"/>
  <c r="T10" i="3"/>
  <c r="U10" i="3"/>
  <c r="U38" i="3" s="1"/>
  <c r="S10" i="3"/>
  <c r="R10" i="3"/>
  <c r="T38" i="3" l="1"/>
  <c r="S38" i="3"/>
  <c r="E11" i="3" s="1"/>
  <c r="E13" i="3" s="1"/>
  <c r="V38" i="3"/>
  <c r="R38" i="3"/>
  <c r="E10" i="3" s="1"/>
  <c r="E31" i="3" l="1"/>
  <c r="H4" i="3" s="1"/>
  <c r="E12" i="3"/>
  <c r="E29" i="3"/>
  <c r="G4" i="3" s="1"/>
  <c r="E14" i="3"/>
  <c r="E15" i="3" s="1"/>
  <c r="E4" i="3" s="1"/>
  <c r="E30" i="3" l="1"/>
  <c r="G5" i="3" s="1"/>
  <c r="E23" i="3" s="1"/>
  <c r="E5" i="3"/>
  <c r="E18" i="3" s="1"/>
  <c r="E32" i="3"/>
  <c r="H5" i="3" s="1"/>
  <c r="E26" i="3" s="1"/>
  <c r="E24" i="3" l="1"/>
  <c r="E25" i="3"/>
  <c r="E19" i="3"/>
</calcChain>
</file>

<file path=xl/sharedStrings.xml><?xml version="1.0" encoding="utf-8"?>
<sst xmlns="http://schemas.openxmlformats.org/spreadsheetml/2006/main" count="78" uniqueCount="55">
  <si>
    <t>X</t>
  </si>
  <si>
    <t>Y</t>
  </si>
  <si>
    <t>Xmean</t>
  </si>
  <si>
    <t>Ymean</t>
  </si>
  <si>
    <t>A</t>
  </si>
  <si>
    <t>Slope</t>
  </si>
  <si>
    <t>Intercept</t>
  </si>
  <si>
    <t xml:space="preserve">X </t>
  </si>
  <si>
    <t>N</t>
  </si>
  <si>
    <t>sX</t>
  </si>
  <si>
    <t>sY</t>
  </si>
  <si>
    <t>l</t>
  </si>
  <si>
    <t>Sxx/N</t>
  </si>
  <si>
    <t>Syy/N</t>
  </si>
  <si>
    <t>Sxy/N</t>
  </si>
  <si>
    <t>Deming</t>
  </si>
  <si>
    <t>Deming_regression_1.0.xlsx</t>
  </si>
  <si>
    <t>Weights</t>
  </si>
  <si>
    <t>s0</t>
  </si>
  <si>
    <t>s½</t>
  </si>
  <si>
    <t>Input</t>
  </si>
  <si>
    <t>Factor</t>
  </si>
  <si>
    <t>Xmin</t>
  </si>
  <si>
    <t>W'</t>
  </si>
  <si>
    <t>Sum(W)'</t>
  </si>
  <si>
    <t>wX</t>
  </si>
  <si>
    <t>wY</t>
  </si>
  <si>
    <t>wX2</t>
  </si>
  <si>
    <t>WXY</t>
  </si>
  <si>
    <t>SUM</t>
  </si>
  <si>
    <t>wY2</t>
  </si>
  <si>
    <t>YonX</t>
  </si>
  <si>
    <t>XonY</t>
  </si>
  <si>
    <t>Deming Weighted</t>
  </si>
  <si>
    <t>Author: Bo Svensmark, svensmark@plen.ku.dk, PLEN, KU 2023</t>
  </si>
  <si>
    <t>Demning weighted</t>
  </si>
  <si>
    <t>YonX(W)</t>
  </si>
  <si>
    <t>XonY(W)</t>
  </si>
  <si>
    <t xml:space="preserve"> </t>
  </si>
  <si>
    <t>Deming regression:</t>
  </si>
  <si>
    <r>
      <t xml:space="preserve">Limiting cases for </t>
    </r>
    <r>
      <rPr>
        <sz val="11"/>
        <color theme="1"/>
        <rFont val="Symbol"/>
        <family val="1"/>
        <charset val="2"/>
      </rPr>
      <t>l</t>
    </r>
    <r>
      <rPr>
        <sz val="12.65"/>
        <color theme="1"/>
        <rFont val="Calibri"/>
        <family val="2"/>
      </rPr>
      <t>:</t>
    </r>
  </si>
  <si>
    <r>
      <rPr>
        <sz val="11"/>
        <color theme="1"/>
        <rFont val="Symbol"/>
        <family val="1"/>
        <charset val="2"/>
      </rPr>
      <t>l</t>
    </r>
    <r>
      <rPr>
        <sz val="12.65"/>
        <color theme="1"/>
        <rFont val="Calibri"/>
        <family val="2"/>
      </rPr>
      <t xml:space="preserve"> = 1:</t>
    </r>
  </si>
  <si>
    <t>Orthogonal regression</t>
  </si>
  <si>
    <r>
      <rPr>
        <sz val="11"/>
        <color theme="1"/>
        <rFont val="Symbol"/>
        <family val="1"/>
        <charset val="2"/>
      </rPr>
      <t>l</t>
    </r>
    <r>
      <rPr>
        <sz val="12.65"/>
        <color theme="1"/>
        <rFont val="Calibri"/>
        <family val="2"/>
      </rPr>
      <t xml:space="preserve"> = </t>
    </r>
    <r>
      <rPr>
        <sz val="12.65"/>
        <color theme="1"/>
        <rFont val="Symbol"/>
        <family val="1"/>
        <charset val="2"/>
      </rPr>
      <t xml:space="preserve"> ¥</t>
    </r>
    <r>
      <rPr>
        <sz val="12.65"/>
        <color theme="1"/>
        <rFont val="Calibri"/>
        <family val="2"/>
      </rPr>
      <t>:</t>
    </r>
  </si>
  <si>
    <t>Equivalent to ordinary least square regression of X on Y</t>
  </si>
  <si>
    <t>Equivalent to ordinary least square regression, OLS</t>
  </si>
  <si>
    <t>Least square regression with uncertainty in both X and Y (sX and sY)</t>
  </si>
  <si>
    <r>
      <t xml:space="preserve">(values of </t>
    </r>
    <r>
      <rPr>
        <sz val="11"/>
        <color theme="1"/>
        <rFont val="Symbol"/>
        <family val="1"/>
        <charset val="2"/>
      </rPr>
      <t>l</t>
    </r>
    <r>
      <rPr>
        <sz val="11"/>
        <color theme="1"/>
        <rFont val="Calibri"/>
        <family val="2"/>
      </rPr>
      <t xml:space="preserve"> higher than ~10</t>
    </r>
    <r>
      <rPr>
        <vertAlign val="superscript"/>
        <sz val="11"/>
        <color theme="1"/>
        <rFont val="Calibri"/>
        <family val="2"/>
      </rPr>
      <t>6</t>
    </r>
    <r>
      <rPr>
        <sz val="11"/>
        <color theme="1"/>
        <rFont val="Calibri"/>
        <family val="2"/>
      </rPr>
      <t xml:space="preserve"> may give errors in results)</t>
    </r>
  </si>
  <si>
    <t xml:space="preserve">Input is the magnitude of the </t>
  </si>
  <si>
    <t>s1</t>
  </si>
  <si>
    <t>contributions to the standard</t>
  </si>
  <si>
    <t>deviation at the lowest</t>
  </si>
  <si>
    <t>concentration in the line</t>
  </si>
  <si>
    <r>
      <t>for uncertainties proportional to X</t>
    </r>
    <r>
      <rPr>
        <vertAlign val="superscript"/>
        <sz val="11"/>
        <color theme="1"/>
        <rFont val="Calibri"/>
        <family val="2"/>
        <scheme val="minor"/>
      </rPr>
      <t>a  (a = 0,½,1)</t>
    </r>
  </si>
  <si>
    <r>
      <rPr>
        <sz val="11"/>
        <color theme="1"/>
        <rFont val="Symbol"/>
        <family val="1"/>
        <charset val="2"/>
      </rPr>
      <t>l</t>
    </r>
    <r>
      <rPr>
        <sz val="12.65"/>
        <color theme="1"/>
        <rFont val="Calibri"/>
        <family val="2"/>
      </rPr>
      <t xml:space="preserve"> = </t>
    </r>
    <r>
      <rPr>
        <sz val="12.65"/>
        <color theme="1"/>
        <rFont val="Symbol"/>
        <family val="1"/>
        <charset val="2"/>
      </rPr>
      <t xml:space="preserve"> 0</t>
    </r>
    <r>
      <rPr>
        <sz val="12.65"/>
        <color theme="1"/>
        <rFont val="Calibri"/>
        <family val="2"/>
      </rPr>
      <t>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</si>
</sst>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Symbol"/>
      <family val="1"/>
      <charset val="2"/>
    </font>
    <font>
      <sz val="11"/>
      <color theme="1"/>
      <name val="Symbol"/>
      <family val="1"/>
      <charset val="2"/>
    </font>
    <font>
      <sz val="12.65"/>
      <color theme="1"/>
      <name val="Calibri"/>
      <family val="2"/>
    </font>
    <font>
      <sz val="11"/>
      <color theme="1"/>
      <name val="Calibri"/>
      <family val="2"/>
    </font>
    <font>
      <sz val="12.65"/>
      <color theme="1"/>
      <name val="Symbol"/>
      <family val="1"/>
      <charset val="2"/>
    </font>
    <font>
      <vertAlign val="superscript"/>
      <sz val="11"/>
      <color theme="1"/>
      <name val="Calibri"/>
      <family val="2"/>
    </font>
    <font>
      <vertAlign val="superscript"/>
      <sz val="11"/>
      <color theme="1"/>
      <name val="Calibri"/>
      <family val="2"/>
      <scheme val="minor"/>
    </font>
    <font>
      <sz val="11"/>
      <color theme="1"/>
      <name val="Calibri"/>
      <family val="1"/>
      <charset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2" borderId="0" xfId="0" applyFill="1"/>
    <xf numFmtId="0" fontId="0" fillId="3" borderId="9" xfId="0" applyFill="1" applyBorder="1"/>
    <xf numFmtId="0" fontId="1" fillId="4" borderId="8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1" fillId="4" borderId="2" xfId="0" applyFont="1" applyFill="1" applyBorder="1"/>
    <xf numFmtId="0" fontId="1" fillId="4" borderId="6" xfId="0" applyFont="1" applyFill="1" applyBorder="1"/>
    <xf numFmtId="0" fontId="0" fillId="3" borderId="3" xfId="0" applyFill="1" applyBorder="1"/>
    <xf numFmtId="0" fontId="0" fillId="3" borderId="5" xfId="0" applyFill="1" applyBorder="1"/>
    <xf numFmtId="0" fontId="0" fillId="3" borderId="7" xfId="0" applyFill="1" applyBorder="1"/>
    <xf numFmtId="0" fontId="1" fillId="3" borderId="2" xfId="0" applyFont="1" applyFill="1" applyBorder="1"/>
    <xf numFmtId="0" fontId="2" fillId="3" borderId="4" xfId="0" applyFont="1" applyFill="1" applyBorder="1"/>
    <xf numFmtId="0" fontId="1" fillId="3" borderId="4" xfId="0" applyFont="1" applyFill="1" applyBorder="1"/>
    <xf numFmtId="0" fontId="1" fillId="3" borderId="6" xfId="0" applyFont="1" applyFill="1" applyBorder="1"/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2" borderId="0" xfId="0" applyFont="1" applyFill="1"/>
    <xf numFmtId="0" fontId="1" fillId="3" borderId="8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1" fillId="4" borderId="9" xfId="0" applyFont="1" applyFill="1" applyBorder="1"/>
    <xf numFmtId="0" fontId="1" fillId="3" borderId="1" xfId="0" applyFont="1" applyFill="1" applyBorder="1"/>
    <xf numFmtId="0" fontId="1" fillId="4" borderId="1" xfId="0" applyFont="1" applyFill="1" applyBorder="1"/>
    <xf numFmtId="0" fontId="1" fillId="4" borderId="10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1" fillId="3" borderId="8" xfId="0" applyFont="1" applyFill="1" applyBorder="1"/>
    <xf numFmtId="2" fontId="0" fillId="3" borderId="4" xfId="0" applyNumberFormat="1" applyFill="1" applyBorder="1" applyAlignment="1">
      <alignment horizontal="center"/>
    </xf>
    <xf numFmtId="2" fontId="0" fillId="3" borderId="6" xfId="0" applyNumberFormat="1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13" xfId="0" applyFill="1" applyBorder="1" applyAlignment="1">
      <alignment horizontal="center"/>
    </xf>
    <xf numFmtId="2" fontId="0" fillId="3" borderId="0" xfId="0" applyNumberFormat="1" applyFill="1" applyAlignment="1">
      <alignment horizontal="center"/>
    </xf>
    <xf numFmtId="2" fontId="0" fillId="3" borderId="13" xfId="0" applyNumberFormat="1" applyFill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0" fontId="0" fillId="3" borderId="12" xfId="0" applyFill="1" applyBorder="1" applyAlignment="1">
      <alignment horizontal="center"/>
    </xf>
    <xf numFmtId="0" fontId="0" fillId="3" borderId="14" xfId="0" applyFill="1" applyBorder="1" applyAlignment="1">
      <alignment horizontal="center"/>
    </xf>
    <xf numFmtId="2" fontId="0" fillId="3" borderId="14" xfId="0" applyNumberFormat="1" applyFill="1" applyBorder="1" applyAlignment="1">
      <alignment horizontal="center"/>
    </xf>
    <xf numFmtId="11" fontId="0" fillId="0" borderId="3" xfId="0" applyNumberFormat="1" applyBorder="1"/>
    <xf numFmtId="11" fontId="0" fillId="0" borderId="7" xfId="0" applyNumberFormat="1" applyBorder="1"/>
    <xf numFmtId="0" fontId="0" fillId="2" borderId="12" xfId="0" applyFill="1" applyBorder="1"/>
    <xf numFmtId="0" fontId="0" fillId="2" borderId="13" xfId="0" applyFill="1" applyBorder="1"/>
    <xf numFmtId="0" fontId="0" fillId="3" borderId="1" xfId="0" applyFill="1" applyBorder="1"/>
    <xf numFmtId="0" fontId="1" fillId="3" borderId="15" xfId="0" applyFont="1" applyFill="1" applyBorder="1"/>
    <xf numFmtId="0" fontId="1" fillId="3" borderId="11" xfId="0" applyFont="1" applyFill="1" applyBorder="1"/>
    <xf numFmtId="0" fontId="0" fillId="3" borderId="15" xfId="0" applyFill="1" applyBorder="1"/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0" fontId="5" fillId="2" borderId="4" xfId="0" applyFont="1" applyFill="1" applyBorder="1"/>
    <xf numFmtId="0" fontId="0" fillId="2" borderId="6" xfId="0" applyFill="1" applyBorder="1"/>
    <xf numFmtId="0" fontId="0" fillId="2" borderId="7" xfId="0" applyFill="1" applyBorder="1"/>
    <xf numFmtId="0" fontId="9" fillId="2" borderId="4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Deming regression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Deming!$B$7</c:f>
              <c:strCache>
                <c:ptCount val="1"/>
                <c:pt idx="0">
                  <c:v>Y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noFill/>
              </a:ln>
              <a:effectLst/>
            </c:spPr>
          </c:marker>
          <c:trendline>
            <c:spPr>
              <a:ln w="19050" cap="rnd">
                <a:noFill/>
                <a:prstDash val="sysDot"/>
              </a:ln>
              <a:effectLst/>
            </c:spPr>
            <c:trendlineType val="linear"/>
            <c:dispRSqr val="1"/>
            <c:dispEq val="0"/>
            <c:trendlineLbl>
              <c:layout>
                <c:manualLayout>
                  <c:x val="-0.61066702812089346"/>
                  <c:y val="-0.1038457081503252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Deming!$A$8:$A$37</c:f>
              <c:numCache>
                <c:formatCode>General</c:formatCode>
                <c:ptCount val="30"/>
                <c:pt idx="0">
                  <c:v>23.2</c:v>
                </c:pt>
                <c:pt idx="1">
                  <c:v>20.399999999999999</c:v>
                </c:pt>
                <c:pt idx="2">
                  <c:v>34.1</c:v>
                </c:pt>
                <c:pt idx="3">
                  <c:v>49.1</c:v>
                </c:pt>
                <c:pt idx="4">
                  <c:v>54.2</c:v>
                </c:pt>
                <c:pt idx="5">
                  <c:v>56.6</c:v>
                </c:pt>
                <c:pt idx="6">
                  <c:v>83.5</c:v>
                </c:pt>
                <c:pt idx="7">
                  <c:v>81.5</c:v>
                </c:pt>
                <c:pt idx="8">
                  <c:v>84.8</c:v>
                </c:pt>
                <c:pt idx="9">
                  <c:v>95.2</c:v>
                </c:pt>
              </c:numCache>
            </c:numRef>
          </c:xVal>
          <c:yVal>
            <c:numRef>
              <c:f>Deming!$B$8:$B$37</c:f>
              <c:numCache>
                <c:formatCode>General</c:formatCode>
                <c:ptCount val="30"/>
                <c:pt idx="0">
                  <c:v>14.7</c:v>
                </c:pt>
                <c:pt idx="1">
                  <c:v>27.9</c:v>
                </c:pt>
                <c:pt idx="2">
                  <c:v>31.7</c:v>
                </c:pt>
                <c:pt idx="3">
                  <c:v>33.200000000000003</c:v>
                </c:pt>
                <c:pt idx="4">
                  <c:v>42.6</c:v>
                </c:pt>
                <c:pt idx="5">
                  <c:v>66.8</c:v>
                </c:pt>
                <c:pt idx="6">
                  <c:v>62</c:v>
                </c:pt>
                <c:pt idx="7">
                  <c:v>56.7</c:v>
                </c:pt>
                <c:pt idx="8">
                  <c:v>95.4</c:v>
                </c:pt>
                <c:pt idx="9">
                  <c:v>106.2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E02-458A-80AE-9364C1AF57D4}"/>
            </c:ext>
          </c:extLst>
        </c:ser>
        <c:ser>
          <c:idx val="1"/>
          <c:order val="1"/>
          <c:tx>
            <c:strRef>
              <c:f>Deming!$D$7</c:f>
              <c:strCache>
                <c:ptCount val="1"/>
                <c:pt idx="0">
                  <c:v>Deming</c:v>
                </c:pt>
              </c:strCache>
            </c:strRef>
          </c:tx>
          <c:spPr>
            <a:ln w="12700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xVal>
            <c:numRef>
              <c:f>Deming!$D$18:$D$19</c:f>
              <c:numCache>
                <c:formatCode>General</c:formatCode>
                <c:ptCount val="2"/>
                <c:pt idx="0">
                  <c:v>0</c:v>
                </c:pt>
                <c:pt idx="1">
                  <c:v>95.2</c:v>
                </c:pt>
              </c:numCache>
            </c:numRef>
          </c:xVal>
          <c:yVal>
            <c:numRef>
              <c:f>Deming!$E$18:$E$19</c:f>
              <c:numCache>
                <c:formatCode>General</c:formatCode>
                <c:ptCount val="2"/>
                <c:pt idx="0">
                  <c:v>-11.07</c:v>
                </c:pt>
                <c:pt idx="1">
                  <c:v>94.792400000000015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E02-458A-80AE-9364C1AF57D4}"/>
            </c:ext>
          </c:extLst>
        </c:ser>
        <c:ser>
          <c:idx val="2"/>
          <c:order val="2"/>
          <c:tx>
            <c:strRef>
              <c:f>Deming!$G$3</c:f>
              <c:strCache>
                <c:ptCount val="1"/>
                <c:pt idx="0">
                  <c:v>YonX</c:v>
                </c:pt>
              </c:strCache>
            </c:strRef>
          </c:tx>
          <c:spPr>
            <a:ln w="6350" cap="rnd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Deming!$D$20:$D$21</c:f>
              <c:numCache>
                <c:formatCode>General</c:formatCode>
                <c:ptCount val="2"/>
                <c:pt idx="0">
                  <c:v>0</c:v>
                </c:pt>
                <c:pt idx="1">
                  <c:v>95.2</c:v>
                </c:pt>
              </c:numCache>
            </c:numRef>
          </c:xVal>
          <c:yVal>
            <c:numRef>
              <c:f>Deming!$E$20:$E$21</c:f>
              <c:numCache>
                <c:formatCode>General</c:formatCode>
                <c:ptCount val="2"/>
                <c:pt idx="0">
                  <c:v>-2.92</c:v>
                </c:pt>
                <c:pt idx="1">
                  <c:v>89.633439999999993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F29-41A8-8559-0BFF92FB89F6}"/>
            </c:ext>
          </c:extLst>
        </c:ser>
        <c:ser>
          <c:idx val="3"/>
          <c:order val="3"/>
          <c:tx>
            <c:strRef>
              <c:f>Deming!$H$3</c:f>
              <c:strCache>
                <c:ptCount val="1"/>
                <c:pt idx="0">
                  <c:v>XonY</c:v>
                </c:pt>
              </c:strCache>
            </c:strRef>
          </c:tx>
          <c:spPr>
            <a:ln w="6350" cap="rnd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Deming!$D$22:$D$23</c:f>
              <c:numCache>
                <c:formatCode>General</c:formatCode>
                <c:ptCount val="2"/>
                <c:pt idx="0">
                  <c:v>0</c:v>
                </c:pt>
                <c:pt idx="1">
                  <c:v>95.2</c:v>
                </c:pt>
              </c:numCache>
            </c:numRef>
          </c:xVal>
          <c:yVal>
            <c:numRef>
              <c:f>Deming!$E$22:$E$23</c:f>
              <c:numCache>
                <c:formatCode>General</c:formatCode>
                <c:ptCount val="2"/>
                <c:pt idx="0">
                  <c:v>-18.579999999999998</c:v>
                </c:pt>
                <c:pt idx="1">
                  <c:v>99.563200000000009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F29-41A8-8559-0BFF92FB89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90299136"/>
        <c:axId val="690304056"/>
      </c:scatterChart>
      <c:valAx>
        <c:axId val="6902991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X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0304056"/>
        <c:crosses val="autoZero"/>
        <c:crossBetween val="midCat"/>
      </c:valAx>
      <c:valAx>
        <c:axId val="6903040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029913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Weighted Deming</a:t>
            </a:r>
            <a:r>
              <a:rPr lang="en-US" baseline="0"/>
              <a:t> regression</a:t>
            </a:r>
            <a:endParaRPr lang="en-US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'Deming Weighted'!$B$7</c:f>
              <c:strCache>
                <c:ptCount val="1"/>
                <c:pt idx="0">
                  <c:v>Y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noFill/>
              </a:ln>
              <a:effectLst/>
            </c:spPr>
          </c:marker>
          <c:trendline>
            <c:spPr>
              <a:ln w="19050" cap="rnd">
                <a:noFill/>
                <a:prstDash val="sysDot"/>
              </a:ln>
              <a:effectLst/>
            </c:spPr>
            <c:trendlineType val="linear"/>
            <c:dispRSqr val="1"/>
            <c:dispEq val="0"/>
            <c:trendlineLbl>
              <c:layout>
                <c:manualLayout>
                  <c:x val="-0.62120572175462863"/>
                  <c:y val="-0.1118057033411364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'Deming Weighted'!$A$8:$A$37</c:f>
              <c:numCache>
                <c:formatCode>General</c:formatCode>
                <c:ptCount val="30"/>
                <c:pt idx="0">
                  <c:v>23.2</c:v>
                </c:pt>
                <c:pt idx="1">
                  <c:v>20.399999999999999</c:v>
                </c:pt>
                <c:pt idx="2">
                  <c:v>34.1</c:v>
                </c:pt>
                <c:pt idx="3">
                  <c:v>49.1</c:v>
                </c:pt>
                <c:pt idx="4">
                  <c:v>54.2</c:v>
                </c:pt>
                <c:pt idx="5">
                  <c:v>56.6</c:v>
                </c:pt>
                <c:pt idx="6">
                  <c:v>83.5</c:v>
                </c:pt>
                <c:pt idx="7">
                  <c:v>81.5</c:v>
                </c:pt>
                <c:pt idx="8">
                  <c:v>84.8</c:v>
                </c:pt>
                <c:pt idx="9">
                  <c:v>95.2</c:v>
                </c:pt>
              </c:numCache>
            </c:numRef>
          </c:xVal>
          <c:yVal>
            <c:numRef>
              <c:f>'Deming Weighted'!$B$8:$B$37</c:f>
              <c:numCache>
                <c:formatCode>General</c:formatCode>
                <c:ptCount val="30"/>
                <c:pt idx="0">
                  <c:v>14.7</c:v>
                </c:pt>
                <c:pt idx="1">
                  <c:v>27.9</c:v>
                </c:pt>
                <c:pt idx="2">
                  <c:v>31.7</c:v>
                </c:pt>
                <c:pt idx="3">
                  <c:v>33.200000000000003</c:v>
                </c:pt>
                <c:pt idx="4">
                  <c:v>42.6</c:v>
                </c:pt>
                <c:pt idx="5">
                  <c:v>66.8</c:v>
                </c:pt>
                <c:pt idx="6">
                  <c:v>53.6</c:v>
                </c:pt>
                <c:pt idx="7">
                  <c:v>56.7</c:v>
                </c:pt>
                <c:pt idx="8">
                  <c:v>95.4</c:v>
                </c:pt>
                <c:pt idx="9">
                  <c:v>106.2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74AB-47EC-A1CA-4AAD02035E4D}"/>
            </c:ext>
          </c:extLst>
        </c:ser>
        <c:ser>
          <c:idx val="1"/>
          <c:order val="1"/>
          <c:tx>
            <c:strRef>
              <c:f>'Deming Weighted'!$D$7</c:f>
              <c:strCache>
                <c:ptCount val="1"/>
                <c:pt idx="0">
                  <c:v>Deming Weighted</c:v>
                </c:pt>
              </c:strCache>
            </c:strRef>
          </c:tx>
          <c:spPr>
            <a:ln w="12700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xVal>
            <c:numRef>
              <c:f>'Deming Weighted'!$D$18:$D$19</c:f>
              <c:numCache>
                <c:formatCode>General</c:formatCode>
                <c:ptCount val="2"/>
                <c:pt idx="0">
                  <c:v>0</c:v>
                </c:pt>
                <c:pt idx="1">
                  <c:v>95.2</c:v>
                </c:pt>
              </c:numCache>
            </c:numRef>
          </c:xVal>
          <c:yVal>
            <c:numRef>
              <c:f>'Deming Weighted'!$E$18:$E$19</c:f>
              <c:numCache>
                <c:formatCode>General</c:formatCode>
                <c:ptCount val="2"/>
                <c:pt idx="0">
                  <c:v>-12.97</c:v>
                </c:pt>
                <c:pt idx="1">
                  <c:v>98.794799999999995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74AB-47EC-A1CA-4AAD02035E4D}"/>
            </c:ext>
          </c:extLst>
        </c:ser>
        <c:ser>
          <c:idx val="2"/>
          <c:order val="2"/>
          <c:tx>
            <c:strRef>
              <c:f>'Deming Weighted'!$G$3</c:f>
              <c:strCache>
                <c:ptCount val="1"/>
                <c:pt idx="0">
                  <c:v>YonX(W)</c:v>
                </c:pt>
              </c:strCache>
            </c:strRef>
          </c:tx>
          <c:spPr>
            <a:ln w="6350">
              <a:solidFill>
                <a:schemeClr val="tx1"/>
              </a:solidFill>
              <a:prstDash val="dash"/>
            </a:ln>
          </c:spPr>
          <c:marker>
            <c:symbol val="none"/>
          </c:marker>
          <c:xVal>
            <c:numRef>
              <c:f>'Deming Weighted'!$D$23:$D$24</c:f>
              <c:numCache>
                <c:formatCode>General</c:formatCode>
                <c:ptCount val="2"/>
                <c:pt idx="0">
                  <c:v>0</c:v>
                </c:pt>
                <c:pt idx="1">
                  <c:v>95.2</c:v>
                </c:pt>
              </c:numCache>
            </c:numRef>
          </c:xVal>
          <c:yVal>
            <c:numRef>
              <c:f>'Deming Weighted'!$E$23:$E$24</c:f>
              <c:numCache>
                <c:formatCode>General</c:formatCode>
                <c:ptCount val="2"/>
                <c:pt idx="0">
                  <c:v>0.4194</c:v>
                </c:pt>
                <c:pt idx="1">
                  <c:v>86.146999999999991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74AB-47EC-A1CA-4AAD02035E4D}"/>
            </c:ext>
          </c:extLst>
        </c:ser>
        <c:ser>
          <c:idx val="3"/>
          <c:order val="3"/>
          <c:tx>
            <c:strRef>
              <c:f>'Deming Weighted'!$H$3</c:f>
              <c:strCache>
                <c:ptCount val="1"/>
                <c:pt idx="0">
                  <c:v>XonY(W)</c:v>
                </c:pt>
              </c:strCache>
            </c:strRef>
          </c:tx>
          <c:spPr>
            <a:ln w="6350">
              <a:solidFill>
                <a:schemeClr val="tx1"/>
              </a:solidFill>
              <a:prstDash val="dash"/>
            </a:ln>
          </c:spPr>
          <c:marker>
            <c:symbol val="none"/>
          </c:marker>
          <c:xVal>
            <c:numRef>
              <c:f>'Deming Weighted'!$D$25:$D$26</c:f>
              <c:numCache>
                <c:formatCode>General</c:formatCode>
                <c:ptCount val="2"/>
                <c:pt idx="0">
                  <c:v>0</c:v>
                </c:pt>
                <c:pt idx="1">
                  <c:v>95.2</c:v>
                </c:pt>
              </c:numCache>
            </c:numRef>
          </c:xVal>
          <c:yVal>
            <c:numRef>
              <c:f>'Deming Weighted'!$E$25:$E$26</c:f>
              <c:numCache>
                <c:formatCode>General</c:formatCode>
                <c:ptCount val="2"/>
                <c:pt idx="0">
                  <c:v>-12.98</c:v>
                </c:pt>
                <c:pt idx="1">
                  <c:v>98.78479999999999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74AB-47EC-A1CA-4AAD0203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90299136"/>
        <c:axId val="690304056"/>
      </c:scatterChart>
      <c:valAx>
        <c:axId val="6902991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X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0304056"/>
        <c:crosses val="autoZero"/>
        <c:crossBetween val="midCat"/>
      </c:valAx>
      <c:valAx>
        <c:axId val="6903040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0299136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162342</xdr:colOff>
      <xdr:row>5</xdr:row>
      <xdr:rowOff>178907</xdr:rowOff>
    </xdr:from>
    <xdr:to>
      <xdr:col>12</xdr:col>
      <xdr:colOff>513523</xdr:colOff>
      <xdr:row>20</xdr:row>
      <xdr:rowOff>168968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12</xdr:col>
      <xdr:colOff>59635</xdr:colOff>
      <xdr:row>1</xdr:row>
      <xdr:rowOff>172279</xdr:rowOff>
    </xdr:from>
    <xdr:ext cx="1020417" cy="219163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00000000-0008-0000-0000-000002000000}"/>
                </a:ext>
              </a:extLst>
            </xdr:cNvPr>
            <xdr:cNvSpPr txBox="1"/>
          </xdr:nvSpPr>
          <xdr:spPr>
            <a:xfrm>
              <a:off x="7732644" y="354496"/>
              <a:ext cx="1020417" cy="21916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a:rPr lang="en-US" sz="1400" i="1">
                      <a:latin typeface="Cambria Math" panose="02040503050406030204" pitchFamily="18" charset="0"/>
                      <a:sym typeface="Symbol" panose="05050102010706020507" pitchFamily="18" charset="2"/>
                    </a:rPr>
                    <m:t></m:t>
                  </m:r>
                </m:oMath>
              </a14:m>
              <a:r>
                <a:rPr lang="en-US" sz="1400"/>
                <a:t> = (sY/sX)^2</a:t>
              </a:r>
            </a:p>
          </xdr:txBody>
        </xdr:sp>
      </mc:Choice>
      <mc:Fallback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00000000-0008-0000-0000-000002000000}"/>
                </a:ext>
              </a:extLst>
            </xdr:cNvPr>
            <xdr:cNvSpPr txBox="1"/>
          </xdr:nvSpPr>
          <xdr:spPr>
            <a:xfrm>
              <a:off x="7732644" y="354496"/>
              <a:ext cx="1020417" cy="21916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en-US" sz="1400" i="0">
                  <a:latin typeface="Cambria Math" panose="02040503050406030204" pitchFamily="18" charset="0"/>
                  <a:sym typeface="Symbol" panose="05050102010706020507" pitchFamily="18" charset="2"/>
                </a:rPr>
                <a:t></a:t>
              </a:r>
              <a:r>
                <a:rPr lang="en-US" sz="1400"/>
                <a:t> = (sY/sX)^2</a:t>
              </a:r>
            </a:p>
          </xdr:txBody>
        </xdr:sp>
      </mc:Fallback>
    </mc:AlternateContent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162342</xdr:colOff>
      <xdr:row>5</xdr:row>
      <xdr:rowOff>178907</xdr:rowOff>
    </xdr:from>
    <xdr:to>
      <xdr:col>12</xdr:col>
      <xdr:colOff>513523</xdr:colOff>
      <xdr:row>20</xdr:row>
      <xdr:rowOff>168968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13</xdr:col>
      <xdr:colOff>0</xdr:colOff>
      <xdr:row>2</xdr:row>
      <xdr:rowOff>0</xdr:rowOff>
    </xdr:from>
    <xdr:ext cx="1020417" cy="219163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00000000-0008-0000-0100-000003000000}"/>
                </a:ext>
              </a:extLst>
            </xdr:cNvPr>
            <xdr:cNvSpPr txBox="1"/>
          </xdr:nvSpPr>
          <xdr:spPr>
            <a:xfrm>
              <a:off x="8110330" y="384313"/>
              <a:ext cx="1020417" cy="21916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a:rPr lang="en-US" sz="1400" i="1">
                      <a:latin typeface="Cambria Math" panose="02040503050406030204" pitchFamily="18" charset="0"/>
                      <a:sym typeface="Symbol" panose="05050102010706020507" pitchFamily="18" charset="2"/>
                    </a:rPr>
                    <m:t></m:t>
                  </m:r>
                </m:oMath>
              </a14:m>
              <a:r>
                <a:rPr lang="en-US" sz="1400"/>
                <a:t> = (sY/sX)^2</a:t>
              </a:r>
            </a:p>
          </xdr:txBody>
        </xdr:sp>
      </mc:Choice>
      <mc:Fallback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00000000-0008-0000-0100-000003000000}"/>
                </a:ext>
              </a:extLst>
            </xdr:cNvPr>
            <xdr:cNvSpPr txBox="1"/>
          </xdr:nvSpPr>
          <xdr:spPr>
            <a:xfrm>
              <a:off x="8110330" y="384313"/>
              <a:ext cx="1020417" cy="21916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en-US" sz="1400" i="0">
                  <a:latin typeface="Cambria Math" panose="02040503050406030204" pitchFamily="18" charset="0"/>
                  <a:sym typeface="Symbol" panose="05050102010706020507" pitchFamily="18" charset="2"/>
                </a:rPr>
                <a:t></a:t>
              </a:r>
              <a:r>
                <a:rPr lang="en-US" sz="1400"/>
                <a:t> = (sY/sX)^2</a:t>
              </a:r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V39"/>
  <sheetViews>
    <sheetView tabSelected="1" zoomScale="115" zoomScaleNormal="115" workbookViewId="0">
      <selection activeCell="O18" sqref="O18"/>
    </sheetView>
  </sheetViews>
  <sheetFormatPr defaultRowHeight="14.4"/>
  <sheetData>
    <row r="1" spans="1:22">
      <c r="A1" s="28" t="s">
        <v>16</v>
      </c>
      <c r="B1" s="1"/>
      <c r="C1" s="1"/>
      <c r="D1" s="1"/>
      <c r="E1" s="1"/>
      <c r="F1" s="1"/>
      <c r="G1" s="1"/>
      <c r="H1" s="1"/>
      <c r="I1" s="1" t="s">
        <v>34</v>
      </c>
      <c r="J1" s="1"/>
      <c r="K1" s="1"/>
      <c r="L1" s="1"/>
      <c r="M1" s="1"/>
      <c r="N1" s="1"/>
      <c r="O1" s="61" t="s">
        <v>39</v>
      </c>
      <c r="P1" s="53"/>
      <c r="Q1" s="53"/>
      <c r="R1" s="53"/>
      <c r="S1" s="53"/>
      <c r="T1" s="53"/>
      <c r="U1" s="62"/>
      <c r="V1" s="1"/>
    </row>
    <row r="2" spans="1:22" ht="14.7" thickBo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63"/>
      <c r="P2" s="1"/>
      <c r="Q2" s="1"/>
      <c r="R2" s="1"/>
      <c r="S2" s="1"/>
      <c r="T2" s="1"/>
      <c r="U2" s="64"/>
      <c r="V2" s="1"/>
    </row>
    <row r="3" spans="1:22" ht="14.7" thickBot="1">
      <c r="A3" s="11" t="s">
        <v>9</v>
      </c>
      <c r="B3" s="51">
        <v>1</v>
      </c>
      <c r="C3" s="1"/>
      <c r="D3" s="55"/>
      <c r="E3" s="47" t="s">
        <v>15</v>
      </c>
      <c r="F3" s="48"/>
      <c r="G3" s="47" t="s">
        <v>31</v>
      </c>
      <c r="H3" s="27" t="s">
        <v>32</v>
      </c>
      <c r="I3" s="1"/>
      <c r="J3" s="1"/>
      <c r="K3" s="1"/>
      <c r="L3" s="1"/>
      <c r="M3" s="1"/>
      <c r="N3" s="1"/>
      <c r="O3" s="63" t="s">
        <v>46</v>
      </c>
      <c r="P3" s="1"/>
      <c r="Q3" s="1"/>
      <c r="R3" s="1"/>
      <c r="S3" s="1"/>
      <c r="T3" s="1"/>
      <c r="U3" s="64"/>
      <c r="V3" s="1"/>
    </row>
    <row r="4" spans="1:22" ht="14.7" thickBot="1">
      <c r="A4" s="12" t="s">
        <v>10</v>
      </c>
      <c r="B4" s="52">
        <v>1</v>
      </c>
      <c r="C4" s="1"/>
      <c r="D4" s="16" t="s">
        <v>5</v>
      </c>
      <c r="E4" s="20">
        <f>ROUND(E15+SQRT(E15^2+E9),4-LOG10(ABS(E15+SQRT(E15^2+E9))))</f>
        <v>1.1120000000000001</v>
      </c>
      <c r="F4" s="48"/>
      <c r="G4" s="48">
        <f>ROUND(SLOPE(B8:B37,A8:A37),4-LOG10(ABS(SLOPE(B8:B37,A8:A37))))</f>
        <v>0.97219999999999995</v>
      </c>
      <c r="H4" s="21">
        <f>ROUND(1/SLOPE(A8:A37,B8:B37),4-LOG10(ABS(1/SLOPE(A8:A37,B8:B37))))</f>
        <v>1.2410000000000001</v>
      </c>
      <c r="I4" s="1"/>
      <c r="J4" s="1"/>
      <c r="K4" s="1"/>
      <c r="L4" s="1"/>
      <c r="M4" s="1"/>
      <c r="N4" s="1"/>
      <c r="O4" s="63" t="s">
        <v>38</v>
      </c>
      <c r="P4" s="1"/>
      <c r="Q4" s="1"/>
      <c r="R4" s="1"/>
      <c r="S4" s="1"/>
      <c r="T4" s="1"/>
      <c r="U4" s="64"/>
      <c r="V4" s="1"/>
    </row>
    <row r="5" spans="1:22" ht="16.5" thickBot="1">
      <c r="A5" s="1"/>
      <c r="B5" s="1"/>
      <c r="C5" s="1"/>
      <c r="D5" s="19" t="s">
        <v>6</v>
      </c>
      <c r="E5" s="24">
        <f>ROUND(E11-E10*E4,4-LOG10(ABS(E11-E10*E4)))</f>
        <v>-11.07</v>
      </c>
      <c r="F5" s="44"/>
      <c r="G5" s="44">
        <f>ROUND(E11-E10*G4,4-LOG10(ABS(E11-E10*G4)))</f>
        <v>-2.92</v>
      </c>
      <c r="H5" s="25">
        <f>ROUND(E11-E10*H4,4-LOG10(ABS(E11-E10*H4)))</f>
        <v>-18.579999999999998</v>
      </c>
      <c r="I5" s="1"/>
      <c r="J5" s="1"/>
      <c r="K5" s="1"/>
      <c r="L5" s="1"/>
      <c r="M5" s="1"/>
      <c r="N5" s="1"/>
      <c r="O5" s="63" t="s">
        <v>40</v>
      </c>
      <c r="P5" s="1"/>
      <c r="Q5" s="1"/>
      <c r="R5" s="1"/>
      <c r="S5" s="1"/>
      <c r="T5" s="1"/>
      <c r="U5" s="64"/>
      <c r="V5" s="1"/>
    </row>
    <row r="6" spans="1:22" ht="14.7" thickBo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63"/>
      <c r="P6" s="1"/>
      <c r="Q6" s="1"/>
      <c r="R6" s="1"/>
      <c r="S6" s="1"/>
      <c r="T6" s="1"/>
      <c r="U6" s="64"/>
      <c r="V6" s="1"/>
    </row>
    <row r="7" spans="1:22" ht="16.5" thickBot="1">
      <c r="A7" s="3" t="s">
        <v>0</v>
      </c>
      <c r="B7" s="4" t="s">
        <v>1</v>
      </c>
      <c r="C7" s="1"/>
      <c r="D7" s="16" t="s">
        <v>15</v>
      </c>
      <c r="E7" s="13"/>
      <c r="F7" s="1"/>
      <c r="G7" s="1"/>
      <c r="H7" s="1"/>
      <c r="I7" s="1"/>
      <c r="J7" s="1"/>
      <c r="K7" s="1"/>
      <c r="L7" s="1"/>
      <c r="M7" s="1"/>
      <c r="N7" s="1"/>
      <c r="O7" s="65" t="s">
        <v>43</v>
      </c>
      <c r="P7" s="1" t="s">
        <v>45</v>
      </c>
      <c r="Q7" s="1"/>
      <c r="R7" s="1"/>
      <c r="S7" s="1"/>
      <c r="T7" s="1"/>
      <c r="U7" s="64"/>
      <c r="V7" s="1"/>
    </row>
    <row r="8" spans="1:22">
      <c r="A8" s="5">
        <v>23.2</v>
      </c>
      <c r="B8" s="6">
        <v>14.7</v>
      </c>
      <c r="C8" s="1"/>
      <c r="D8" s="18" t="s">
        <v>8</v>
      </c>
      <c r="E8" s="14">
        <f>COUNT(A8:A37)</f>
        <v>10</v>
      </c>
      <c r="F8" s="1"/>
      <c r="G8" s="1"/>
      <c r="H8" s="1"/>
      <c r="I8" s="1"/>
      <c r="J8" s="1"/>
      <c r="K8" s="1"/>
      <c r="L8" s="1"/>
      <c r="M8" s="1"/>
      <c r="N8" s="1"/>
      <c r="O8" s="63"/>
      <c r="P8" s="1"/>
      <c r="Q8" s="1"/>
      <c r="R8" s="1"/>
      <c r="S8" s="1"/>
      <c r="T8" s="1"/>
      <c r="U8" s="64"/>
      <c r="V8" s="1"/>
    </row>
    <row r="9" spans="1:22" ht="16.2">
      <c r="A9" s="7">
        <v>20.399999999999999</v>
      </c>
      <c r="B9" s="8">
        <v>27.9</v>
      </c>
      <c r="C9" s="1"/>
      <c r="D9" s="17" t="s">
        <v>11</v>
      </c>
      <c r="E9" s="14">
        <f>(B4/B3)^2</f>
        <v>1</v>
      </c>
      <c r="F9" s="1"/>
      <c r="G9" s="1"/>
      <c r="H9" s="1"/>
      <c r="I9" s="1"/>
      <c r="J9" s="1"/>
      <c r="K9" s="1"/>
      <c r="L9" s="1"/>
      <c r="M9" s="1"/>
      <c r="N9" s="1"/>
      <c r="O9" s="65" t="s">
        <v>41</v>
      </c>
      <c r="P9" s="1" t="s">
        <v>42</v>
      </c>
      <c r="Q9" s="1"/>
      <c r="R9" s="1"/>
      <c r="S9" s="1"/>
      <c r="T9" s="1"/>
      <c r="U9" s="64"/>
      <c r="V9" s="1"/>
    </row>
    <row r="10" spans="1:22">
      <c r="A10" s="7">
        <v>34.1</v>
      </c>
      <c r="B10" s="8">
        <v>31.7</v>
      </c>
      <c r="C10" s="1"/>
      <c r="D10" s="18" t="s">
        <v>2</v>
      </c>
      <c r="E10" s="14">
        <f>AVERAGE(A8:A37)</f>
        <v>58.260000000000005</v>
      </c>
      <c r="F10" s="1"/>
      <c r="G10" s="1"/>
      <c r="H10" s="1"/>
      <c r="I10" s="1"/>
      <c r="J10" s="1"/>
      <c r="K10" s="1"/>
      <c r="L10" s="1"/>
      <c r="M10" s="1"/>
      <c r="N10" s="1"/>
      <c r="O10" s="63"/>
      <c r="P10" s="1"/>
      <c r="Q10" s="1"/>
      <c r="R10" s="1"/>
      <c r="S10" s="1"/>
      <c r="T10" s="1"/>
      <c r="U10" s="64"/>
      <c r="V10" s="1"/>
    </row>
    <row r="11" spans="1:22" ht="16.2">
      <c r="A11" s="7">
        <v>49.1</v>
      </c>
      <c r="B11" s="8">
        <v>33.200000000000003</v>
      </c>
      <c r="C11" s="1"/>
      <c r="D11" s="18" t="s">
        <v>3</v>
      </c>
      <c r="E11" s="14">
        <f>AVERAGE(B8:B37)</f>
        <v>53.720000000000006</v>
      </c>
      <c r="F11" s="1"/>
      <c r="G11" s="1"/>
      <c r="H11" s="1"/>
      <c r="I11" s="1"/>
      <c r="J11" s="1"/>
      <c r="K11" s="1"/>
      <c r="L11" s="1"/>
      <c r="M11" s="1"/>
      <c r="N11" s="1"/>
      <c r="O11" s="68" t="s">
        <v>54</v>
      </c>
      <c r="P11" s="1" t="s">
        <v>44</v>
      </c>
      <c r="Q11" s="1"/>
      <c r="R11" s="1"/>
      <c r="S11" s="1"/>
      <c r="T11" s="1"/>
      <c r="U11" s="64"/>
      <c r="V11" s="1"/>
    </row>
    <row r="12" spans="1:22" ht="16.8" thickBot="1">
      <c r="A12" s="7">
        <v>54.2</v>
      </c>
      <c r="B12" s="8">
        <v>42.6</v>
      </c>
      <c r="C12" s="1"/>
      <c r="D12" s="18" t="s">
        <v>12</v>
      </c>
      <c r="E12" s="14">
        <f>_xlfn.VAR.P(A8:A37)</f>
        <v>659.55239999999992</v>
      </c>
      <c r="F12" s="1"/>
      <c r="G12" s="1"/>
      <c r="H12" s="1"/>
      <c r="I12" s="1"/>
      <c r="J12" s="1"/>
      <c r="K12" s="1"/>
      <c r="L12" s="1"/>
      <c r="M12" s="1"/>
      <c r="N12" s="1"/>
      <c r="O12" s="66"/>
      <c r="P12" s="54" t="s">
        <v>47</v>
      </c>
      <c r="Q12" s="54"/>
      <c r="R12" s="54"/>
      <c r="S12" s="54"/>
      <c r="T12" s="54"/>
      <c r="U12" s="67"/>
      <c r="V12" s="1"/>
    </row>
    <row r="13" spans="1:22">
      <c r="A13" s="7">
        <v>56.6</v>
      </c>
      <c r="B13" s="8">
        <v>66.8</v>
      </c>
      <c r="C13" s="1"/>
      <c r="D13" s="18" t="s">
        <v>13</v>
      </c>
      <c r="E13" s="14">
        <f>_xlfn.VAR.P(B8:B37)</f>
        <v>795.8735999999999</v>
      </c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</row>
    <row r="14" spans="1:22">
      <c r="A14" s="7">
        <v>83.5</v>
      </c>
      <c r="B14" s="8">
        <v>62</v>
      </c>
      <c r="C14" s="1"/>
      <c r="D14" s="18" t="s">
        <v>14</v>
      </c>
      <c r="E14" s="14">
        <f>COVAR(A8:A37,B8:B37)</f>
        <v>641.20280000000002</v>
      </c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</row>
    <row r="15" spans="1:22" ht="14.7" thickBot="1">
      <c r="A15" s="7">
        <v>81.5</v>
      </c>
      <c r="B15" s="8">
        <v>56.7</v>
      </c>
      <c r="C15" s="1"/>
      <c r="D15" s="19" t="s">
        <v>4</v>
      </c>
      <c r="E15" s="15">
        <f>(E13-E9*E12)/(2*E14)</f>
        <v>0.10630115776163171</v>
      </c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</row>
    <row r="16" spans="1:22" ht="14.7" thickBot="1">
      <c r="A16" s="7">
        <v>84.8</v>
      </c>
      <c r="B16" s="8">
        <v>95.4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</row>
    <row r="17" spans="1:22" ht="14.7" thickBot="1">
      <c r="A17" s="7">
        <v>95.2</v>
      </c>
      <c r="B17" s="8">
        <v>106.2</v>
      </c>
      <c r="C17" s="1"/>
      <c r="D17" s="29" t="s">
        <v>7</v>
      </c>
      <c r="E17" s="30" t="s">
        <v>1</v>
      </c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</row>
    <row r="18" spans="1:22">
      <c r="A18" s="7"/>
      <c r="B18" s="8"/>
      <c r="C18" s="1"/>
      <c r="D18" s="22">
        <v>0</v>
      </c>
      <c r="E18" s="23">
        <f>E$5+D18*E$4</f>
        <v>-11.07</v>
      </c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</row>
    <row r="19" spans="1:22" ht="14.7" thickBot="1">
      <c r="A19" s="7"/>
      <c r="B19" s="8"/>
      <c r="C19" s="1"/>
      <c r="D19" s="24">
        <f>MAX($A8:$A37)</f>
        <v>95.2</v>
      </c>
      <c r="E19" s="25">
        <f>E$5+D19*E$4</f>
        <v>94.792400000000015</v>
      </c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</row>
    <row r="20" spans="1:22">
      <c r="A20" s="7"/>
      <c r="B20" s="8"/>
      <c r="C20" s="1"/>
      <c r="D20" s="22">
        <v>0</v>
      </c>
      <c r="E20" s="23">
        <f>G$5+D20*G$4</f>
        <v>-2.92</v>
      </c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</row>
    <row r="21" spans="1:22" ht="14.7" thickBot="1">
      <c r="A21" s="7"/>
      <c r="B21" s="8"/>
      <c r="C21" s="1"/>
      <c r="D21" s="24">
        <f>MAX($A10:$A39)</f>
        <v>95.2</v>
      </c>
      <c r="E21" s="25">
        <f>G$5+D21*G$4</f>
        <v>89.633439999999993</v>
      </c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</row>
    <row r="22" spans="1:22">
      <c r="A22" s="7"/>
      <c r="B22" s="8"/>
      <c r="C22" s="1"/>
      <c r="D22" s="22">
        <v>0</v>
      </c>
      <c r="E22" s="23">
        <f>H$5+D22*H$4</f>
        <v>-18.579999999999998</v>
      </c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</row>
    <row r="23" spans="1:22" ht="14.7" thickBot="1">
      <c r="A23" s="7"/>
      <c r="B23" s="8"/>
      <c r="C23" s="1"/>
      <c r="D23" s="24">
        <f>MAX($A12:$A39)</f>
        <v>95.2</v>
      </c>
      <c r="E23" s="25">
        <f>H$5+D23*H$4</f>
        <v>99.563200000000009</v>
      </c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</row>
    <row r="24" spans="1:22">
      <c r="A24" s="7"/>
      <c r="B24" s="8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</row>
    <row r="25" spans="1:22">
      <c r="A25" s="7"/>
      <c r="B25" s="8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</row>
    <row r="26" spans="1:22">
      <c r="A26" s="7"/>
      <c r="B26" s="8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</row>
    <row r="27" spans="1:22">
      <c r="A27" s="7"/>
      <c r="B27" s="8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</row>
    <row r="28" spans="1:22">
      <c r="A28" s="7"/>
      <c r="B28" s="8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22">
      <c r="A29" s="7"/>
      <c r="B29" s="8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2">
      <c r="A30" s="7"/>
      <c r="B30" s="8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2">
      <c r="A31" s="7"/>
      <c r="B31" s="8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2">
      <c r="A32" s="7"/>
      <c r="B32" s="8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2">
      <c r="A33" s="7"/>
      <c r="B33" s="8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2">
      <c r="A34" s="7"/>
      <c r="B34" s="8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2">
      <c r="A35" s="7"/>
      <c r="B35" s="8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2">
      <c r="A36" s="7"/>
      <c r="B36" s="8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2" ht="14.7" thickBot="1">
      <c r="A37" s="9"/>
      <c r="B37" s="10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</row>
    <row r="39" spans="1:2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W53"/>
  <sheetViews>
    <sheetView zoomScale="115" zoomScaleNormal="115" workbookViewId="0">
      <selection activeCell="G28" sqref="G28"/>
    </sheetView>
  </sheetViews>
  <sheetFormatPr defaultRowHeight="14.4"/>
  <cols>
    <col min="6" max="6" width="11.5234375" bestFit="1" customWidth="1"/>
  </cols>
  <sheetData>
    <row r="1" spans="1:23" ht="14.7" thickBot="1">
      <c r="A1" s="28" t="str">
        <f>Deming!A1</f>
        <v>Deming_regression_1.0.xlsx</v>
      </c>
      <c r="B1" s="1"/>
      <c r="C1" s="1"/>
      <c r="D1" s="1"/>
      <c r="E1" s="1"/>
      <c r="F1" s="1"/>
      <c r="G1" s="1"/>
      <c r="H1" s="1"/>
      <c r="I1" s="1" t="str">
        <f>Deming!I1</f>
        <v>Author: Bo Svensmark, svensmark@plen.ku.dk, PLEN, KU 2023</v>
      </c>
      <c r="J1" s="1"/>
      <c r="K1" s="1"/>
      <c r="L1" s="1"/>
      <c r="M1" s="1"/>
      <c r="N1" s="1"/>
      <c r="O1" s="1"/>
      <c r="P1" s="33" t="s">
        <v>17</v>
      </c>
      <c r="Q1" s="31" t="s">
        <v>20</v>
      </c>
      <c r="R1" s="32" t="s">
        <v>21</v>
      </c>
      <c r="S1" s="1"/>
      <c r="T1" s="1" t="s">
        <v>48</v>
      </c>
      <c r="U1" s="1"/>
      <c r="V1" s="1"/>
      <c r="W1" s="1"/>
    </row>
    <row r="2" spans="1:23" ht="14.7" thickBo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34" t="s">
        <v>18</v>
      </c>
      <c r="Q2" s="8">
        <v>1</v>
      </c>
      <c r="R2" s="38">
        <f>Q2</f>
        <v>1</v>
      </c>
      <c r="S2" s="1"/>
      <c r="T2" s="1" t="s">
        <v>50</v>
      </c>
      <c r="U2" s="1"/>
      <c r="V2" s="1"/>
      <c r="W2" s="1"/>
    </row>
    <row r="3" spans="1:23" ht="14.7" thickBot="1">
      <c r="A3" s="11" t="s">
        <v>9</v>
      </c>
      <c r="B3" s="51">
        <v>1000</v>
      </c>
      <c r="C3" s="1"/>
      <c r="D3" s="58"/>
      <c r="E3" s="47" t="s">
        <v>35</v>
      </c>
      <c r="F3" s="48"/>
      <c r="G3" s="47" t="s">
        <v>36</v>
      </c>
      <c r="H3" s="27" t="s">
        <v>37</v>
      </c>
      <c r="I3" s="1"/>
      <c r="J3" s="1"/>
      <c r="K3" s="1"/>
      <c r="L3" s="1"/>
      <c r="M3" s="1"/>
      <c r="N3" s="1"/>
      <c r="O3" s="1"/>
      <c r="P3" s="34" t="s">
        <v>19</v>
      </c>
      <c r="Q3" s="8">
        <v>1</v>
      </c>
      <c r="R3" s="38">
        <f>IF(E21&gt;0,Q3/SQRT(E21),Q3)</f>
        <v>0.22140372138502384</v>
      </c>
      <c r="S3" s="1"/>
      <c r="T3" s="1" t="s">
        <v>51</v>
      </c>
      <c r="U3" s="1"/>
      <c r="V3" s="1"/>
      <c r="W3" s="1"/>
    </row>
    <row r="4" spans="1:23" ht="14.7" thickBot="1">
      <c r="A4" s="12" t="s">
        <v>10</v>
      </c>
      <c r="B4" s="52">
        <v>1</v>
      </c>
      <c r="C4" s="1"/>
      <c r="D4" s="56" t="s">
        <v>5</v>
      </c>
      <c r="E4" s="20">
        <f>ROUND(E15+SQRT(E15^2+E9),4-LOG10(ABS(E15+SQRT(E15^2+E9))))</f>
        <v>1.1739999999999999</v>
      </c>
      <c r="F4" s="48"/>
      <c r="G4" s="48">
        <f>ROUND(E29,4-LOG10(ABS(E29)))</f>
        <v>0.90049999999999997</v>
      </c>
      <c r="H4" s="21">
        <f>ROUND(E31,4-LOG10(ABS(E31)))</f>
        <v>1.1739999999999999</v>
      </c>
      <c r="I4" s="1"/>
      <c r="J4" s="1"/>
      <c r="K4" s="1"/>
      <c r="L4" s="1"/>
      <c r="M4" s="1"/>
      <c r="N4" s="1"/>
      <c r="O4" s="1"/>
      <c r="P4" s="35" t="s">
        <v>49</v>
      </c>
      <c r="Q4" s="10">
        <v>0</v>
      </c>
      <c r="R4" s="39">
        <f>IF(E21&gt;0,Q4/E21,Q4)</f>
        <v>0</v>
      </c>
      <c r="S4" s="1"/>
      <c r="T4" s="1" t="s">
        <v>52</v>
      </c>
      <c r="U4" s="1"/>
      <c r="V4" s="1"/>
      <c r="W4" s="1"/>
    </row>
    <row r="5" spans="1:23" ht="16.8" thickBot="1">
      <c r="A5" s="1"/>
      <c r="B5" s="1"/>
      <c r="C5" s="1"/>
      <c r="D5" s="57" t="s">
        <v>6</v>
      </c>
      <c r="E5" s="24">
        <f>ROUND(E11-E10*E4,4-LOG10(ABS(E11-E10*E4)))</f>
        <v>-12.97</v>
      </c>
      <c r="F5" s="44"/>
      <c r="G5" s="44">
        <f t="shared" ref="G5" si="0">ROUND(E30,4-LOG10(ABS(E30)))</f>
        <v>0.4194</v>
      </c>
      <c r="H5" s="25">
        <f>ROUND(E32,4-LOG10(ABS(E32)))</f>
        <v>-12.98</v>
      </c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 t="s">
        <v>53</v>
      </c>
      <c r="U5" s="1"/>
      <c r="V5" s="1"/>
      <c r="W5" s="1"/>
    </row>
    <row r="6" spans="1:23" ht="14.7" thickBo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</row>
    <row r="7" spans="1:23" ht="14.7" thickBot="1">
      <c r="A7" s="59" t="s">
        <v>0</v>
      </c>
      <c r="B7" s="60" t="s">
        <v>1</v>
      </c>
      <c r="C7" s="1"/>
      <c r="D7" s="16" t="s">
        <v>33</v>
      </c>
      <c r="E7" s="13"/>
      <c r="F7" s="1"/>
      <c r="G7" s="1"/>
      <c r="H7" s="1"/>
      <c r="I7" s="1"/>
      <c r="J7" s="1"/>
      <c r="K7" s="1"/>
      <c r="L7" s="1"/>
      <c r="M7" s="1"/>
      <c r="N7" s="1"/>
      <c r="O7" s="1"/>
      <c r="P7" s="29" t="s">
        <v>23</v>
      </c>
      <c r="Q7" s="30" t="s">
        <v>17</v>
      </c>
      <c r="R7" s="26" t="s">
        <v>25</v>
      </c>
      <c r="S7" s="47" t="s">
        <v>26</v>
      </c>
      <c r="T7" s="47" t="s">
        <v>27</v>
      </c>
      <c r="U7" s="47" t="s">
        <v>30</v>
      </c>
      <c r="V7" s="27" t="s">
        <v>28</v>
      </c>
      <c r="W7" s="1"/>
    </row>
    <row r="8" spans="1:23">
      <c r="A8" s="5">
        <v>23.2</v>
      </c>
      <c r="B8" s="6">
        <v>14.7</v>
      </c>
      <c r="C8" s="1"/>
      <c r="D8" s="18" t="s">
        <v>8</v>
      </c>
      <c r="E8" s="14">
        <f>COUNT(A8:A37)</f>
        <v>10</v>
      </c>
      <c r="F8" s="1"/>
      <c r="G8" s="1"/>
      <c r="H8" s="1"/>
      <c r="I8" s="1"/>
      <c r="J8" s="1"/>
      <c r="K8" s="1"/>
      <c r="L8" s="1"/>
      <c r="M8" s="1"/>
      <c r="N8" s="1"/>
      <c r="O8" s="1"/>
      <c r="P8" s="41">
        <f t="shared" ref="P8:P37" si="1">IF(A8="","",1/($R$2^2+$R$3^2*A8+($R$4*A8)^2))</f>
        <v>0.46788990825688065</v>
      </c>
      <c r="Q8" s="45">
        <f>IF(P8="","",$E$8*P8/$E$22)</f>
        <v>1.5908960596855284</v>
      </c>
      <c r="R8" s="20">
        <f t="shared" ref="R8:R37" si="2">IF(Q8="","",A8*$Q8)</f>
        <v>36.908788584704254</v>
      </c>
      <c r="S8" s="48">
        <f t="shared" ref="S8:S37" si="3">IF(Q8="","",B8*$Q8)</f>
        <v>23.386172077377267</v>
      </c>
      <c r="T8" s="48">
        <f t="shared" ref="T8:T37" si="4">IF(Q8="","",A8^2*$Q8)</f>
        <v>856.2838951651388</v>
      </c>
      <c r="U8" s="48">
        <f t="shared" ref="U8:U37" si="5">IF(Q8="","",B8^2*$Q8)</f>
        <v>343.77672953744582</v>
      </c>
      <c r="V8" s="21">
        <f t="shared" ref="V8:V37" si="6">IF(Q8="","",A8*B8*$Q8)</f>
        <v>542.55919219515249</v>
      </c>
      <c r="W8" s="1"/>
    </row>
    <row r="9" spans="1:23" ht="14.7">
      <c r="A9" s="7">
        <v>20.399999999999999</v>
      </c>
      <c r="B9" s="8">
        <v>27.9</v>
      </c>
      <c r="C9" s="1"/>
      <c r="D9" s="17" t="s">
        <v>11</v>
      </c>
      <c r="E9" s="14">
        <f>(B4/B3)^2</f>
        <v>9.9999999999999995E-7</v>
      </c>
      <c r="F9" s="1"/>
      <c r="G9" s="1"/>
      <c r="H9" s="1"/>
      <c r="I9" s="1"/>
      <c r="J9" s="1"/>
      <c r="K9" s="1"/>
      <c r="L9" s="1"/>
      <c r="M9" s="1"/>
      <c r="N9" s="1"/>
      <c r="O9" s="1"/>
      <c r="P9" s="41">
        <f t="shared" si="1"/>
        <v>0.5</v>
      </c>
      <c r="Q9" s="45">
        <f t="shared" ref="Q9:Q37" si="7">IF(P9="","",$E$8*P9/$E$22)</f>
        <v>1.7000752010364963</v>
      </c>
      <c r="R9" s="22">
        <f t="shared" si="2"/>
        <v>34.681534101144521</v>
      </c>
      <c r="S9" s="43">
        <f t="shared" si="3"/>
        <v>47.432098108918247</v>
      </c>
      <c r="T9" s="43">
        <f t="shared" si="4"/>
        <v>707.50329566334824</v>
      </c>
      <c r="U9" s="43">
        <f t="shared" si="5"/>
        <v>1323.3555372388191</v>
      </c>
      <c r="V9" s="23">
        <f t="shared" si="6"/>
        <v>967.61480142193216</v>
      </c>
      <c r="W9" s="1"/>
    </row>
    <row r="10" spans="1:23">
      <c r="A10" s="7">
        <v>34.1</v>
      </c>
      <c r="B10" s="8">
        <v>31.7</v>
      </c>
      <c r="C10" s="1"/>
      <c r="D10" s="18" t="s">
        <v>2</v>
      </c>
      <c r="E10" s="14">
        <f>R38/$E$8</f>
        <v>48.963068202289044</v>
      </c>
      <c r="F10" s="1"/>
      <c r="G10" s="1"/>
      <c r="H10" s="1"/>
      <c r="I10" s="1"/>
      <c r="J10" s="1"/>
      <c r="K10" s="1"/>
      <c r="L10" s="1"/>
      <c r="M10" s="1"/>
      <c r="N10" s="1"/>
      <c r="O10" s="1"/>
      <c r="P10" s="41">
        <f t="shared" si="1"/>
        <v>0.37431192660550455</v>
      </c>
      <c r="Q10" s="45">
        <f t="shared" si="7"/>
        <v>1.2727168477484228</v>
      </c>
      <c r="R10" s="22">
        <f t="shared" si="2"/>
        <v>43.399644508221215</v>
      </c>
      <c r="S10" s="43">
        <f t="shared" si="3"/>
        <v>40.345124073625001</v>
      </c>
      <c r="T10" s="43">
        <f t="shared" si="4"/>
        <v>1479.9278777303437</v>
      </c>
      <c r="U10" s="43">
        <f t="shared" si="5"/>
        <v>1278.9404331339126</v>
      </c>
      <c r="V10" s="23">
        <f t="shared" si="6"/>
        <v>1375.7687309106125</v>
      </c>
      <c r="W10" s="1"/>
    </row>
    <row r="11" spans="1:23">
      <c r="A11" s="7">
        <v>49.1</v>
      </c>
      <c r="B11" s="8">
        <v>33.200000000000003</v>
      </c>
      <c r="C11" s="1"/>
      <c r="D11" s="18" t="s">
        <v>3</v>
      </c>
      <c r="E11" s="14">
        <f>S38/$E$8</f>
        <v>44.508508687818349</v>
      </c>
      <c r="F11" s="1"/>
      <c r="G11" s="1"/>
      <c r="H11" s="1"/>
      <c r="I11" s="1"/>
      <c r="J11" s="1"/>
      <c r="K11" s="1"/>
      <c r="L11" s="1"/>
      <c r="M11" s="1"/>
      <c r="N11" s="1"/>
      <c r="O11" s="1"/>
      <c r="P11" s="41">
        <f t="shared" si="1"/>
        <v>0.29352517985611509</v>
      </c>
      <c r="Q11" s="45">
        <f t="shared" si="7"/>
        <v>0.99802975830631724</v>
      </c>
      <c r="R11" s="22">
        <f t="shared" si="2"/>
        <v>49.00326113284018</v>
      </c>
      <c r="S11" s="43">
        <f t="shared" si="3"/>
        <v>33.134587975769733</v>
      </c>
      <c r="T11" s="43">
        <f t="shared" si="4"/>
        <v>2406.0601216224527</v>
      </c>
      <c r="U11" s="43">
        <f t="shared" si="5"/>
        <v>1100.0683207955553</v>
      </c>
      <c r="V11" s="23">
        <f t="shared" si="6"/>
        <v>1626.9082696102939</v>
      </c>
      <c r="W11" s="1"/>
    </row>
    <row r="12" spans="1:23">
      <c r="A12" s="7">
        <v>54.2</v>
      </c>
      <c r="B12" s="8">
        <v>42.6</v>
      </c>
      <c r="C12" s="1"/>
      <c r="D12" s="18" t="s">
        <v>12</v>
      </c>
      <c r="E12" s="14">
        <f>T38-E8*E10^2</f>
        <v>6448.637143566546</v>
      </c>
      <c r="F12" s="1"/>
      <c r="G12" s="1"/>
      <c r="H12" s="1"/>
      <c r="I12" s="1"/>
      <c r="J12" s="1"/>
      <c r="K12" s="1"/>
      <c r="L12" s="1"/>
      <c r="M12" s="1"/>
      <c r="N12" s="1"/>
      <c r="O12" s="1"/>
      <c r="P12" s="41">
        <f t="shared" si="1"/>
        <v>0.27345844504021444</v>
      </c>
      <c r="Q12" s="45">
        <f t="shared" si="7"/>
        <v>0.92979984185374043</v>
      </c>
      <c r="R12" s="22">
        <f t="shared" si="2"/>
        <v>50.395151428472737</v>
      </c>
      <c r="S12" s="43">
        <f t="shared" si="3"/>
        <v>39.609473262969345</v>
      </c>
      <c r="T12" s="43">
        <f t="shared" si="4"/>
        <v>2731.4172074232224</v>
      </c>
      <c r="U12" s="43">
        <f t="shared" si="5"/>
        <v>1687.3635610024942</v>
      </c>
      <c r="V12" s="23">
        <f t="shared" si="6"/>
        <v>2146.8334508529383</v>
      </c>
      <c r="W12" s="1"/>
    </row>
    <row r="13" spans="1:23">
      <c r="A13" s="7">
        <v>56.6</v>
      </c>
      <c r="B13" s="8">
        <v>66.8</v>
      </c>
      <c r="C13" s="1"/>
      <c r="D13" s="18" t="s">
        <v>13</v>
      </c>
      <c r="E13" s="14">
        <f>U38-E8*E11^2</f>
        <v>6817.6071056965957</v>
      </c>
      <c r="F13" s="1"/>
      <c r="G13" s="1"/>
      <c r="H13" s="1"/>
      <c r="I13" s="1"/>
      <c r="J13" s="1"/>
      <c r="K13" s="1"/>
      <c r="L13" s="1"/>
      <c r="M13" s="1"/>
      <c r="N13" s="1"/>
      <c r="O13" s="1"/>
      <c r="P13" s="41">
        <f t="shared" si="1"/>
        <v>0.26493506493506491</v>
      </c>
      <c r="Q13" s="45">
        <f t="shared" si="7"/>
        <v>0.90081906756219532</v>
      </c>
      <c r="R13" s="22">
        <f t="shared" si="2"/>
        <v>50.986359224020255</v>
      </c>
      <c r="S13" s="43">
        <f t="shared" si="3"/>
        <v>60.174713713154645</v>
      </c>
      <c r="T13" s="43">
        <f t="shared" si="4"/>
        <v>2885.8279320795464</v>
      </c>
      <c r="U13" s="43">
        <f t="shared" si="5"/>
        <v>4019.6708760387301</v>
      </c>
      <c r="V13" s="23">
        <f t="shared" si="6"/>
        <v>3405.8887961645532</v>
      </c>
      <c r="W13" s="1"/>
    </row>
    <row r="14" spans="1:23">
      <c r="A14" s="7">
        <v>83.5</v>
      </c>
      <c r="B14" s="8">
        <v>53.6</v>
      </c>
      <c r="C14" s="1"/>
      <c r="D14" s="18" t="s">
        <v>14</v>
      </c>
      <c r="E14" s="14">
        <f>V38-E8*E10*E11</f>
        <v>5806.7232284172569</v>
      </c>
      <c r="F14" s="1"/>
      <c r="G14" s="1"/>
      <c r="H14" s="1"/>
      <c r="I14" s="1"/>
      <c r="J14" s="1"/>
      <c r="K14" s="1"/>
      <c r="L14" s="1"/>
      <c r="M14" s="1"/>
      <c r="N14" s="1"/>
      <c r="O14" s="1"/>
      <c r="P14" s="41">
        <f t="shared" si="1"/>
        <v>0.19634263715110681</v>
      </c>
      <c r="Q14" s="45">
        <f t="shared" si="7"/>
        <v>0.66759449665340742</v>
      </c>
      <c r="R14" s="22">
        <f t="shared" si="2"/>
        <v>55.744140470559522</v>
      </c>
      <c r="S14" s="43">
        <f t="shared" si="3"/>
        <v>35.783065020622637</v>
      </c>
      <c r="T14" s="43">
        <f t="shared" si="4"/>
        <v>4654.6357292917201</v>
      </c>
      <c r="U14" s="43">
        <f t="shared" si="5"/>
        <v>1917.9722851053734</v>
      </c>
      <c r="V14" s="23">
        <f t="shared" si="6"/>
        <v>2987.8859292219904</v>
      </c>
      <c r="W14" s="1"/>
    </row>
    <row r="15" spans="1:23" ht="14.7" thickBot="1">
      <c r="A15" s="7">
        <v>81.5</v>
      </c>
      <c r="B15" s="8">
        <v>56.7</v>
      </c>
      <c r="C15" s="1"/>
      <c r="D15" s="19" t="s">
        <v>4</v>
      </c>
      <c r="E15" s="15">
        <f>(E13-E9*E12)/(2*E14)</f>
        <v>0.58704370682720919</v>
      </c>
      <c r="F15" s="1"/>
      <c r="G15" s="1"/>
      <c r="H15" s="1"/>
      <c r="I15" s="1"/>
      <c r="J15" s="1"/>
      <c r="K15" s="1"/>
      <c r="L15" s="1"/>
      <c r="M15" s="1"/>
      <c r="N15" s="1"/>
      <c r="O15" s="1"/>
      <c r="P15" s="41">
        <f t="shared" si="1"/>
        <v>0.20019627085377817</v>
      </c>
      <c r="Q15" s="45">
        <f t="shared" si="7"/>
        <v>0.68069743083698753</v>
      </c>
      <c r="R15" s="22">
        <f t="shared" si="2"/>
        <v>55.476840613214485</v>
      </c>
      <c r="S15" s="43">
        <f t="shared" si="3"/>
        <v>38.595544328457194</v>
      </c>
      <c r="T15" s="43">
        <f t="shared" si="4"/>
        <v>4521.3625099769806</v>
      </c>
      <c r="U15" s="43">
        <f t="shared" si="5"/>
        <v>2188.3673634235229</v>
      </c>
      <c r="V15" s="23">
        <f t="shared" si="6"/>
        <v>3145.5368627692615</v>
      </c>
      <c r="W15" s="1"/>
    </row>
    <row r="16" spans="1:23" ht="14.7" thickBot="1">
      <c r="A16" s="7">
        <v>84.8</v>
      </c>
      <c r="B16" s="8">
        <v>95.4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41">
        <f t="shared" si="1"/>
        <v>0.19391634980988592</v>
      </c>
      <c r="Q16" s="45">
        <f t="shared" si="7"/>
        <v>0.65934475477461074</v>
      </c>
      <c r="R16" s="22">
        <f t="shared" si="2"/>
        <v>55.912435204886989</v>
      </c>
      <c r="S16" s="43">
        <f t="shared" si="3"/>
        <v>62.901489605497872</v>
      </c>
      <c r="T16" s="43">
        <f t="shared" si="4"/>
        <v>4741.3745053744169</v>
      </c>
      <c r="U16" s="43">
        <f t="shared" si="5"/>
        <v>6000.8021083644971</v>
      </c>
      <c r="V16" s="23">
        <f t="shared" si="6"/>
        <v>5334.0463185462186</v>
      </c>
      <c r="W16" s="1"/>
    </row>
    <row r="17" spans="1:23" ht="14.7" thickBot="1">
      <c r="A17" s="7">
        <v>95.2</v>
      </c>
      <c r="B17" s="8">
        <v>106.2</v>
      </c>
      <c r="C17" s="1"/>
      <c r="D17" s="29" t="s">
        <v>7</v>
      </c>
      <c r="E17" s="30" t="s">
        <v>1</v>
      </c>
      <c r="F17" s="1"/>
      <c r="G17" s="1"/>
      <c r="H17" s="1"/>
      <c r="I17" s="1"/>
      <c r="J17" s="1"/>
      <c r="K17" s="1"/>
      <c r="L17" s="1"/>
      <c r="M17" s="1"/>
      <c r="N17" s="1"/>
      <c r="O17" s="1"/>
      <c r="P17" s="41">
        <f t="shared" si="1"/>
        <v>0.1764705882352941</v>
      </c>
      <c r="Q17" s="45">
        <f t="shared" si="7"/>
        <v>0.60002654154229274</v>
      </c>
      <c r="R17" s="22">
        <f t="shared" si="2"/>
        <v>57.122526754826268</v>
      </c>
      <c r="S17" s="43">
        <f t="shared" si="3"/>
        <v>63.72281871179149</v>
      </c>
      <c r="T17" s="43">
        <f t="shared" si="4"/>
        <v>5438.0645470594609</v>
      </c>
      <c r="U17" s="43">
        <f t="shared" si="5"/>
        <v>6767.3633471922567</v>
      </c>
      <c r="V17" s="23">
        <f t="shared" si="6"/>
        <v>6066.4123413625493</v>
      </c>
      <c r="W17" s="1"/>
    </row>
    <row r="18" spans="1:23">
      <c r="A18" s="7"/>
      <c r="B18" s="8"/>
      <c r="C18" s="1"/>
      <c r="D18" s="22">
        <v>0</v>
      </c>
      <c r="E18" s="23">
        <f>E$5+D18*E$4</f>
        <v>-12.97</v>
      </c>
      <c r="F18" s="1"/>
      <c r="G18" s="1"/>
      <c r="H18" s="1"/>
      <c r="I18" s="1"/>
      <c r="J18" s="1"/>
      <c r="K18" s="1"/>
      <c r="L18" s="1"/>
      <c r="M18" s="1"/>
      <c r="N18" s="1"/>
      <c r="O18" s="1"/>
      <c r="P18" s="41" t="str">
        <f t="shared" si="1"/>
        <v/>
      </c>
      <c r="Q18" s="45" t="str">
        <f t="shared" si="7"/>
        <v/>
      </c>
      <c r="R18" s="22" t="str">
        <f t="shared" si="2"/>
        <v/>
      </c>
      <c r="S18" s="43" t="str">
        <f t="shared" si="3"/>
        <v/>
      </c>
      <c r="T18" s="43" t="str">
        <f t="shared" si="4"/>
        <v/>
      </c>
      <c r="U18" s="43" t="str">
        <f t="shared" si="5"/>
        <v/>
      </c>
      <c r="V18" s="23" t="str">
        <f t="shared" si="6"/>
        <v/>
      </c>
      <c r="W18" s="1"/>
    </row>
    <row r="19" spans="1:23" ht="14.7" thickBot="1">
      <c r="A19" s="7"/>
      <c r="B19" s="8"/>
      <c r="C19" s="1"/>
      <c r="D19" s="24">
        <f>MAX($A8:$A37)</f>
        <v>95.2</v>
      </c>
      <c r="E19" s="25">
        <f>E$5+D19*E$4</f>
        <v>98.794799999999995</v>
      </c>
      <c r="F19" s="1"/>
      <c r="G19" s="1"/>
      <c r="H19" s="1"/>
      <c r="I19" s="1"/>
      <c r="J19" s="1"/>
      <c r="K19" s="1"/>
      <c r="L19" s="1"/>
      <c r="M19" s="1"/>
      <c r="N19" s="1"/>
      <c r="O19" s="1"/>
      <c r="P19" s="41" t="str">
        <f t="shared" si="1"/>
        <v/>
      </c>
      <c r="Q19" s="45" t="str">
        <f t="shared" si="7"/>
        <v/>
      </c>
      <c r="R19" s="22" t="str">
        <f t="shared" si="2"/>
        <v/>
      </c>
      <c r="S19" s="43" t="str">
        <f t="shared" si="3"/>
        <v/>
      </c>
      <c r="T19" s="43" t="str">
        <f t="shared" si="4"/>
        <v/>
      </c>
      <c r="U19" s="43" t="str">
        <f t="shared" si="5"/>
        <v/>
      </c>
      <c r="V19" s="23" t="str">
        <f t="shared" si="6"/>
        <v/>
      </c>
      <c r="W19" s="1"/>
    </row>
    <row r="20" spans="1:23" ht="14.7" thickBot="1">
      <c r="A20" s="7"/>
      <c r="B20" s="8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41" t="str">
        <f t="shared" si="1"/>
        <v/>
      </c>
      <c r="Q20" s="45" t="str">
        <f t="shared" si="7"/>
        <v/>
      </c>
      <c r="R20" s="22" t="str">
        <f t="shared" si="2"/>
        <v/>
      </c>
      <c r="S20" s="43" t="str">
        <f t="shared" si="3"/>
        <v/>
      </c>
      <c r="T20" s="43" t="str">
        <f t="shared" si="4"/>
        <v/>
      </c>
      <c r="U20" s="43" t="str">
        <f t="shared" si="5"/>
        <v/>
      </c>
      <c r="V20" s="23" t="str">
        <f t="shared" si="6"/>
        <v/>
      </c>
      <c r="W20" s="1"/>
    </row>
    <row r="21" spans="1:23" ht="14.7" thickBot="1">
      <c r="A21" s="7"/>
      <c r="B21" s="8"/>
      <c r="C21" s="1"/>
      <c r="D21" s="29" t="s">
        <v>22</v>
      </c>
      <c r="E21" s="37">
        <f>MIN(A8:A37)</f>
        <v>20.399999999999999</v>
      </c>
      <c r="F21" s="1"/>
      <c r="G21" s="1"/>
      <c r="H21" s="1"/>
      <c r="I21" s="1"/>
      <c r="J21" s="1"/>
      <c r="K21" s="1"/>
      <c r="L21" s="1"/>
      <c r="M21" s="1"/>
      <c r="N21" s="1"/>
      <c r="O21" s="1"/>
      <c r="P21" s="41" t="str">
        <f t="shared" si="1"/>
        <v/>
      </c>
      <c r="Q21" s="45" t="str">
        <f t="shared" si="7"/>
        <v/>
      </c>
      <c r="R21" s="22" t="str">
        <f t="shared" si="2"/>
        <v/>
      </c>
      <c r="S21" s="43" t="str">
        <f t="shared" si="3"/>
        <v/>
      </c>
      <c r="T21" s="43" t="str">
        <f t="shared" si="4"/>
        <v/>
      </c>
      <c r="U21" s="43" t="str">
        <f t="shared" si="5"/>
        <v/>
      </c>
      <c r="V21" s="23" t="str">
        <f t="shared" si="6"/>
        <v/>
      </c>
      <c r="W21" s="1"/>
    </row>
    <row r="22" spans="1:23" ht="14.7" thickBot="1">
      <c r="A22" s="7"/>
      <c r="B22" s="8"/>
      <c r="C22" s="1"/>
      <c r="D22" s="40" t="s">
        <v>24</v>
      </c>
      <c r="E22" s="2">
        <f>SUM(P8:P37)</f>
        <v>2.941046370743845</v>
      </c>
      <c r="F22" s="1"/>
      <c r="G22" s="1"/>
      <c r="H22" s="1"/>
      <c r="I22" s="1"/>
      <c r="J22" s="1"/>
      <c r="K22" s="1"/>
      <c r="L22" s="1"/>
      <c r="M22" s="1"/>
      <c r="N22" s="1"/>
      <c r="O22" s="1"/>
      <c r="P22" s="41" t="str">
        <f t="shared" si="1"/>
        <v/>
      </c>
      <c r="Q22" s="45" t="str">
        <f t="shared" si="7"/>
        <v/>
      </c>
      <c r="R22" s="22" t="str">
        <f t="shared" si="2"/>
        <v/>
      </c>
      <c r="S22" s="43" t="str">
        <f t="shared" si="3"/>
        <v/>
      </c>
      <c r="T22" s="43" t="str">
        <f t="shared" si="4"/>
        <v/>
      </c>
      <c r="U22" s="43" t="str">
        <f t="shared" si="5"/>
        <v/>
      </c>
      <c r="V22" s="23" t="str">
        <f t="shared" si="6"/>
        <v/>
      </c>
      <c r="W22" s="1"/>
    </row>
    <row r="23" spans="1:23">
      <c r="A23" s="7"/>
      <c r="B23" s="8"/>
      <c r="C23" s="1"/>
      <c r="D23" s="22">
        <v>0</v>
      </c>
      <c r="E23" s="23">
        <f>G$5+D23*G$4</f>
        <v>0.4194</v>
      </c>
      <c r="F23" s="1"/>
      <c r="G23" s="1"/>
      <c r="H23" s="1"/>
      <c r="I23" s="1"/>
      <c r="J23" s="1"/>
      <c r="K23" s="1"/>
      <c r="L23" s="1"/>
      <c r="M23" s="1"/>
      <c r="N23" s="1"/>
      <c r="O23" s="1"/>
      <c r="P23" s="41" t="str">
        <f t="shared" si="1"/>
        <v/>
      </c>
      <c r="Q23" s="45" t="str">
        <f t="shared" si="7"/>
        <v/>
      </c>
      <c r="R23" s="22" t="str">
        <f t="shared" si="2"/>
        <v/>
      </c>
      <c r="S23" s="43" t="str">
        <f t="shared" si="3"/>
        <v/>
      </c>
      <c r="T23" s="43" t="str">
        <f t="shared" si="4"/>
        <v/>
      </c>
      <c r="U23" s="43" t="str">
        <f t="shared" si="5"/>
        <v/>
      </c>
      <c r="V23" s="23" t="str">
        <f t="shared" si="6"/>
        <v/>
      </c>
      <c r="W23" s="1"/>
    </row>
    <row r="24" spans="1:23" ht="14.7" thickBot="1">
      <c r="A24" s="7"/>
      <c r="B24" s="8"/>
      <c r="C24" s="1"/>
      <c r="D24" s="24">
        <f>MAX($A13:$A42)</f>
        <v>95.2</v>
      </c>
      <c r="E24" s="25">
        <f>G$5+D24*G$4</f>
        <v>86.146999999999991</v>
      </c>
      <c r="F24" s="1"/>
      <c r="G24" s="1"/>
      <c r="H24" s="1"/>
      <c r="I24" s="1"/>
      <c r="J24" s="1"/>
      <c r="K24" s="1"/>
      <c r="L24" s="1"/>
      <c r="M24" s="1"/>
      <c r="N24" s="1"/>
      <c r="O24" s="1"/>
      <c r="P24" s="41" t="str">
        <f t="shared" si="1"/>
        <v/>
      </c>
      <c r="Q24" s="45" t="str">
        <f t="shared" si="7"/>
        <v/>
      </c>
      <c r="R24" s="22" t="str">
        <f t="shared" si="2"/>
        <v/>
      </c>
      <c r="S24" s="43" t="str">
        <f t="shared" si="3"/>
        <v/>
      </c>
      <c r="T24" s="43" t="str">
        <f t="shared" si="4"/>
        <v/>
      </c>
      <c r="U24" s="43" t="str">
        <f t="shared" si="5"/>
        <v/>
      </c>
      <c r="V24" s="23" t="str">
        <f t="shared" si="6"/>
        <v/>
      </c>
      <c r="W24" s="1"/>
    </row>
    <row r="25" spans="1:23">
      <c r="A25" s="7"/>
      <c r="B25" s="8"/>
      <c r="C25" s="1"/>
      <c r="D25" s="22">
        <v>0</v>
      </c>
      <c r="E25" s="23">
        <f>H$5+D25*H$4</f>
        <v>-12.98</v>
      </c>
      <c r="F25" s="1"/>
      <c r="G25" s="1"/>
      <c r="H25" s="1"/>
      <c r="I25" s="1"/>
      <c r="J25" s="1"/>
      <c r="K25" s="1"/>
      <c r="L25" s="1"/>
      <c r="M25" s="1"/>
      <c r="N25" s="1"/>
      <c r="O25" s="1"/>
      <c r="P25" s="41" t="str">
        <f t="shared" si="1"/>
        <v/>
      </c>
      <c r="Q25" s="45" t="str">
        <f t="shared" si="7"/>
        <v/>
      </c>
      <c r="R25" s="22" t="str">
        <f t="shared" si="2"/>
        <v/>
      </c>
      <c r="S25" s="43" t="str">
        <f t="shared" si="3"/>
        <v/>
      </c>
      <c r="T25" s="43" t="str">
        <f t="shared" si="4"/>
        <v/>
      </c>
      <c r="U25" s="43" t="str">
        <f t="shared" si="5"/>
        <v/>
      </c>
      <c r="V25" s="23" t="str">
        <f t="shared" si="6"/>
        <v/>
      </c>
      <c r="W25" s="1"/>
    </row>
    <row r="26" spans="1:23" ht="14.7" thickBot="1">
      <c r="A26" s="7"/>
      <c r="B26" s="8"/>
      <c r="C26" s="1"/>
      <c r="D26" s="24">
        <f>MAX($A15:$A44)</f>
        <v>95.2</v>
      </c>
      <c r="E26" s="25">
        <f>H$5+D26*H$4</f>
        <v>98.78479999999999</v>
      </c>
      <c r="F26" s="1"/>
      <c r="G26" s="1"/>
      <c r="H26" s="1"/>
      <c r="I26" s="1"/>
      <c r="J26" s="1"/>
      <c r="K26" s="1"/>
      <c r="L26" s="1"/>
      <c r="M26" s="1"/>
      <c r="N26" s="1"/>
      <c r="O26" s="1"/>
      <c r="P26" s="41" t="str">
        <f t="shared" si="1"/>
        <v/>
      </c>
      <c r="Q26" s="45" t="str">
        <f t="shared" si="7"/>
        <v/>
      </c>
      <c r="R26" s="22" t="str">
        <f t="shared" si="2"/>
        <v/>
      </c>
      <c r="S26" s="43" t="str">
        <f t="shared" si="3"/>
        <v/>
      </c>
      <c r="T26" s="43" t="str">
        <f t="shared" si="4"/>
        <v/>
      </c>
      <c r="U26" s="43" t="str">
        <f t="shared" si="5"/>
        <v/>
      </c>
      <c r="V26" s="23" t="str">
        <f t="shared" si="6"/>
        <v/>
      </c>
      <c r="W26" s="1"/>
    </row>
    <row r="27" spans="1:23">
      <c r="A27" s="7"/>
      <c r="B27" s="8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41" t="str">
        <f t="shared" si="1"/>
        <v/>
      </c>
      <c r="Q27" s="45" t="str">
        <f t="shared" si="7"/>
        <v/>
      </c>
      <c r="R27" s="22" t="str">
        <f t="shared" si="2"/>
        <v/>
      </c>
      <c r="S27" s="43" t="str">
        <f t="shared" si="3"/>
        <v/>
      </c>
      <c r="T27" s="43" t="str">
        <f t="shared" si="4"/>
        <v/>
      </c>
      <c r="U27" s="43" t="str">
        <f t="shared" si="5"/>
        <v/>
      </c>
      <c r="V27" s="23" t="str">
        <f t="shared" si="6"/>
        <v/>
      </c>
      <c r="W27" s="1"/>
    </row>
    <row r="28" spans="1:23" ht="14.7" thickBot="1">
      <c r="A28" s="7"/>
      <c r="B28" s="8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41" t="str">
        <f t="shared" si="1"/>
        <v/>
      </c>
      <c r="Q28" s="45" t="str">
        <f t="shared" si="7"/>
        <v/>
      </c>
      <c r="R28" s="22" t="str">
        <f t="shared" si="2"/>
        <v/>
      </c>
      <c r="S28" s="43" t="str">
        <f t="shared" si="3"/>
        <v/>
      </c>
      <c r="T28" s="43" t="str">
        <f t="shared" si="4"/>
        <v/>
      </c>
      <c r="U28" s="43" t="str">
        <f t="shared" si="5"/>
        <v/>
      </c>
      <c r="V28" s="23" t="str">
        <f t="shared" si="6"/>
        <v/>
      </c>
      <c r="W28" s="1"/>
    </row>
    <row r="29" spans="1:23">
      <c r="A29" s="7"/>
      <c r="B29" s="8"/>
      <c r="C29" s="1"/>
      <c r="D29" s="16" t="s">
        <v>5</v>
      </c>
      <c r="E29" s="13">
        <f>(V38-E8*E10*E11)/(T38-E8*E10^2)</f>
        <v>0.90045742986334842</v>
      </c>
      <c r="F29" s="1"/>
      <c r="G29" s="1"/>
      <c r="H29" s="1"/>
      <c r="I29" s="1"/>
      <c r="J29" s="1"/>
      <c r="K29" s="1"/>
      <c r="L29" s="1"/>
      <c r="M29" s="1"/>
      <c r="N29" s="1"/>
      <c r="O29" s="1"/>
      <c r="P29" s="41" t="str">
        <f t="shared" si="1"/>
        <v/>
      </c>
      <c r="Q29" s="45" t="str">
        <f t="shared" si="7"/>
        <v/>
      </c>
      <c r="R29" s="22" t="str">
        <f t="shared" si="2"/>
        <v/>
      </c>
      <c r="S29" s="43" t="str">
        <f t="shared" si="3"/>
        <v/>
      </c>
      <c r="T29" s="43" t="str">
        <f t="shared" si="4"/>
        <v/>
      </c>
      <c r="U29" s="43" t="str">
        <f t="shared" si="5"/>
        <v/>
      </c>
      <c r="V29" s="23" t="str">
        <f t="shared" si="6"/>
        <v/>
      </c>
      <c r="W29" s="1"/>
    </row>
    <row r="30" spans="1:23" ht="14.7" thickBot="1">
      <c r="A30" s="7"/>
      <c r="B30" s="8"/>
      <c r="C30" s="1"/>
      <c r="D30" s="18" t="s">
        <v>6</v>
      </c>
      <c r="E30" s="14">
        <f>E11-E10*E29</f>
        <v>0.41935013616132011</v>
      </c>
      <c r="F30" s="1"/>
      <c r="G30" s="1"/>
      <c r="H30" s="1"/>
      <c r="I30" s="1"/>
      <c r="J30" s="1"/>
      <c r="K30" s="1"/>
      <c r="L30" s="1"/>
      <c r="M30" s="1"/>
      <c r="N30" s="1"/>
      <c r="O30" s="1"/>
      <c r="P30" s="41" t="str">
        <f t="shared" si="1"/>
        <v/>
      </c>
      <c r="Q30" s="45" t="str">
        <f t="shared" si="7"/>
        <v/>
      </c>
      <c r="R30" s="22" t="str">
        <f t="shared" si="2"/>
        <v/>
      </c>
      <c r="S30" s="43" t="str">
        <f t="shared" si="3"/>
        <v/>
      </c>
      <c r="T30" s="43" t="str">
        <f t="shared" si="4"/>
        <v/>
      </c>
      <c r="U30" s="43" t="str">
        <f t="shared" si="5"/>
        <v/>
      </c>
      <c r="V30" s="23" t="str">
        <f t="shared" si="6"/>
        <v/>
      </c>
      <c r="W30" s="1"/>
    </row>
    <row r="31" spans="1:23">
      <c r="A31" s="7"/>
      <c r="B31" s="8"/>
      <c r="C31" s="1"/>
      <c r="D31" s="16" t="s">
        <v>5</v>
      </c>
      <c r="E31" s="13">
        <f>(U38-E8*E11^2)/(V38-E8*E10*E11)</f>
        <v>1.1740885242010883</v>
      </c>
      <c r="F31" s="1"/>
      <c r="G31" s="1"/>
      <c r="H31" s="1"/>
      <c r="I31" s="1"/>
      <c r="J31" s="1"/>
      <c r="K31" s="1"/>
      <c r="L31" s="1"/>
      <c r="M31" s="1"/>
      <c r="N31" s="1"/>
      <c r="O31" s="1"/>
      <c r="P31" s="41" t="str">
        <f t="shared" si="1"/>
        <v/>
      </c>
      <c r="Q31" s="45" t="str">
        <f t="shared" si="7"/>
        <v/>
      </c>
      <c r="R31" s="22" t="str">
        <f t="shared" si="2"/>
        <v/>
      </c>
      <c r="S31" s="43" t="str">
        <f t="shared" si="3"/>
        <v/>
      </c>
      <c r="T31" s="43" t="str">
        <f t="shared" si="4"/>
        <v/>
      </c>
      <c r="U31" s="43" t="str">
        <f t="shared" si="5"/>
        <v/>
      </c>
      <c r="V31" s="23" t="str">
        <f t="shared" si="6"/>
        <v/>
      </c>
      <c r="W31" s="1"/>
    </row>
    <row r="32" spans="1:23" ht="14.7" thickBot="1">
      <c r="A32" s="7"/>
      <c r="B32" s="8"/>
      <c r="C32" s="1"/>
      <c r="D32" s="19" t="s">
        <v>6</v>
      </c>
      <c r="E32" s="15">
        <f>E11-E10*E31</f>
        <v>-12.978467798164431</v>
      </c>
      <c r="F32" s="1"/>
      <c r="G32" s="1"/>
      <c r="H32" s="1"/>
      <c r="I32" s="1"/>
      <c r="J32" s="1"/>
      <c r="K32" s="1"/>
      <c r="L32" s="1"/>
      <c r="M32" s="1"/>
      <c r="N32" s="1"/>
      <c r="O32" s="1"/>
      <c r="P32" s="41" t="str">
        <f t="shared" si="1"/>
        <v/>
      </c>
      <c r="Q32" s="45" t="str">
        <f t="shared" si="7"/>
        <v/>
      </c>
      <c r="R32" s="22" t="str">
        <f t="shared" si="2"/>
        <v/>
      </c>
      <c r="S32" s="43" t="str">
        <f t="shared" si="3"/>
        <v/>
      </c>
      <c r="T32" s="43" t="str">
        <f t="shared" si="4"/>
        <v/>
      </c>
      <c r="U32" s="43" t="str">
        <f t="shared" si="5"/>
        <v/>
      </c>
      <c r="V32" s="23" t="str">
        <f t="shared" si="6"/>
        <v/>
      </c>
      <c r="W32" s="1"/>
    </row>
    <row r="33" spans="1:23">
      <c r="A33" s="7"/>
      <c r="B33" s="8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41" t="str">
        <f t="shared" si="1"/>
        <v/>
      </c>
      <c r="Q33" s="45" t="str">
        <f t="shared" si="7"/>
        <v/>
      </c>
      <c r="R33" s="22" t="str">
        <f t="shared" si="2"/>
        <v/>
      </c>
      <c r="S33" s="43" t="str">
        <f t="shared" si="3"/>
        <v/>
      </c>
      <c r="T33" s="43" t="str">
        <f t="shared" si="4"/>
        <v/>
      </c>
      <c r="U33" s="43" t="str">
        <f t="shared" si="5"/>
        <v/>
      </c>
      <c r="V33" s="23" t="str">
        <f t="shared" si="6"/>
        <v/>
      </c>
      <c r="W33" s="1"/>
    </row>
    <row r="34" spans="1:23">
      <c r="A34" s="7"/>
      <c r="B34" s="8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41" t="str">
        <f t="shared" si="1"/>
        <v/>
      </c>
      <c r="Q34" s="45" t="str">
        <f t="shared" si="7"/>
        <v/>
      </c>
      <c r="R34" s="22" t="str">
        <f t="shared" si="2"/>
        <v/>
      </c>
      <c r="S34" s="43" t="str">
        <f t="shared" si="3"/>
        <v/>
      </c>
      <c r="T34" s="43" t="str">
        <f t="shared" si="4"/>
        <v/>
      </c>
      <c r="U34" s="43" t="str">
        <f t="shared" si="5"/>
        <v/>
      </c>
      <c r="V34" s="23" t="str">
        <f t="shared" si="6"/>
        <v/>
      </c>
      <c r="W34" s="1"/>
    </row>
    <row r="35" spans="1:23">
      <c r="A35" s="7"/>
      <c r="B35" s="8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41" t="str">
        <f t="shared" si="1"/>
        <v/>
      </c>
      <c r="Q35" s="45" t="str">
        <f t="shared" si="7"/>
        <v/>
      </c>
      <c r="R35" s="22" t="str">
        <f t="shared" si="2"/>
        <v/>
      </c>
      <c r="S35" s="43" t="str">
        <f t="shared" si="3"/>
        <v/>
      </c>
      <c r="T35" s="43" t="str">
        <f t="shared" si="4"/>
        <v/>
      </c>
      <c r="U35" s="43" t="str">
        <f t="shared" si="5"/>
        <v/>
      </c>
      <c r="V35" s="23" t="str">
        <f t="shared" si="6"/>
        <v/>
      </c>
      <c r="W35" s="1"/>
    </row>
    <row r="36" spans="1:23">
      <c r="A36" s="7"/>
      <c r="B36" s="8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41" t="str">
        <f t="shared" si="1"/>
        <v/>
      </c>
      <c r="Q36" s="45" t="str">
        <f t="shared" si="7"/>
        <v/>
      </c>
      <c r="R36" s="22" t="str">
        <f t="shared" si="2"/>
        <v/>
      </c>
      <c r="S36" s="43" t="str">
        <f t="shared" si="3"/>
        <v/>
      </c>
      <c r="T36" s="43" t="str">
        <f t="shared" si="4"/>
        <v/>
      </c>
      <c r="U36" s="43" t="str">
        <f t="shared" si="5"/>
        <v/>
      </c>
      <c r="V36" s="23" t="str">
        <f t="shared" si="6"/>
        <v/>
      </c>
      <c r="W36" s="1"/>
    </row>
    <row r="37" spans="1:23" ht="14.7" thickBot="1">
      <c r="A37" s="9"/>
      <c r="B37" s="10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42" t="str">
        <f t="shared" si="1"/>
        <v/>
      </c>
      <c r="Q37" s="46" t="str">
        <f t="shared" si="7"/>
        <v/>
      </c>
      <c r="R37" s="24" t="str">
        <f t="shared" si="2"/>
        <v/>
      </c>
      <c r="S37" s="44" t="str">
        <f t="shared" si="3"/>
        <v/>
      </c>
      <c r="T37" s="44" t="str">
        <f t="shared" si="4"/>
        <v/>
      </c>
      <c r="U37" s="44" t="str">
        <f t="shared" si="5"/>
        <v/>
      </c>
      <c r="V37" s="25" t="str">
        <f t="shared" si="6"/>
        <v/>
      </c>
      <c r="W37" s="1"/>
    </row>
    <row r="38" spans="1:23" ht="14.7" thickBo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29" t="s">
        <v>29</v>
      </c>
      <c r="Q38" s="50">
        <f>SUM(Q8:Q37)</f>
        <v>9.9999999999999982</v>
      </c>
      <c r="R38" s="36">
        <f t="shared" ref="R38:V38" si="8">SUM(R8:R37)</f>
        <v>489.63068202289043</v>
      </c>
      <c r="S38" s="49">
        <f t="shared" si="8"/>
        <v>445.08508687818346</v>
      </c>
      <c r="T38" s="49">
        <f t="shared" si="8"/>
        <v>30422.457621386631</v>
      </c>
      <c r="U38" s="49">
        <f t="shared" si="8"/>
        <v>26627.680561832611</v>
      </c>
      <c r="V38" s="37">
        <f t="shared" si="8"/>
        <v>27599.454693055501</v>
      </c>
      <c r="W38" s="1"/>
    </row>
    <row r="39" spans="1:2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</row>
    <row r="40" spans="1:2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</row>
    <row r="41" spans="1:2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</row>
    <row r="42" spans="1:2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</row>
    <row r="43" spans="1:2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</row>
    <row r="44" spans="1:2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</row>
    <row r="45" spans="1:2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</row>
    <row r="46" spans="1:2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</row>
    <row r="47" spans="1:2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</row>
    <row r="48" spans="1:2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</row>
    <row r="49" spans="1:2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</row>
    <row r="50" spans="1:23">
      <c r="A50" s="1"/>
      <c r="B50" s="1"/>
      <c r="C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</row>
    <row r="51" spans="1:23">
      <c r="A51" s="1"/>
      <c r="B51" s="1"/>
      <c r="P51" s="1"/>
      <c r="Q51" s="1"/>
      <c r="R51" s="1"/>
      <c r="S51" s="1"/>
      <c r="T51" s="1"/>
      <c r="U51" s="1"/>
      <c r="V51" s="1"/>
      <c r="W51" s="1"/>
    </row>
    <row r="52" spans="1:23">
      <c r="A52" s="1"/>
      <c r="B52" s="1"/>
    </row>
    <row r="53" spans="1:23">
      <c r="A53" s="1"/>
      <c r="B53" s="1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Deming</vt:lpstr>
      <vt:lpstr>Deming Weighted</vt:lpstr>
      <vt:lpstr>'Deming Weighted'!COV</vt:lpstr>
      <vt:lpstr>'Deming Weighted'!W</vt:lpstr>
      <vt:lpstr>'Deming Weighted'!X_1</vt:lpstr>
      <vt:lpstr>'Deming Weighted'!Y</vt:lpstr>
    </vt:vector>
  </TitlesOfParts>
  <Company>SUND - KU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 Svensmark</dc:creator>
  <cp:lastModifiedBy>Bo Svensmark</cp:lastModifiedBy>
  <dcterms:created xsi:type="dcterms:W3CDTF">2023-01-17T14:25:23Z</dcterms:created>
  <dcterms:modified xsi:type="dcterms:W3CDTF">2025-03-21T16:00:05Z</dcterms:modified>
</cp:coreProperties>
</file>